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Budget" sheetId="2" state="visible" r:id="rId4"/>
    <sheet name="Calibration" sheetId="3" state="visible" r:id="rId5"/>
    <sheet name="Inpu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<sst xmlns="http://schemas.openxmlformats.org/spreadsheetml/2006/main" count="201" uniqueCount="152">
  <si>
    <t xml:space="preserve">Measurement Uncertainty Budget — Spectrophotometric Method (template)</t>
  </si>
  <si>
    <t xml:space="preserve">Author: Mohamed Sayed Khammeri — Laboratory Manager, ISO/IEC 17025. Licence: CC BY 4.0.</t>
  </si>
  <si>
    <t xml:space="preserve">ALL DATA IN THIS WORKBOOK ARE FICTIONAL. It contains no proprietary, client or accreditation-body information, and no text reproduced from any standard.</t>
  </si>
  <si>
    <t xml:space="preserve">Purpose</t>
  </si>
  <si>
    <t xml:space="preserve">Bottom-up (GUM / EURACHEM-CITAC Guide CG4) uncertainty estimate for a single-wavelength spectrophotometric determination with an external linear calibration. The worked example is orthophosphate (as P) in water by the molybdenum-blue reaction, after a 10 → 50 mL dilution.</t>
  </si>
  <si>
    <t xml:space="preserve">Measurement model</t>
  </si>
  <si>
    <t xml:space="preserve">c = x0 × Vf / Va          where x0 = (ȳ0 − a) / b is read from the calibration line (Calibration sheet).</t>
  </si>
  <si>
    <t xml:space="preserve">Relative standard uncertainties are combined in quadrature because the model is a product/quotient; repeatability and recovery enter as multiplicative factors equal to 1.</t>
  </si>
  <si>
    <t xml:space="preserve">How to use</t>
  </si>
  <si>
    <t xml:space="preserve">Yellow cells with blue text = inputs. Replace them with your own calibration, readings, glassware tolerances, certificate values, replicate and recovery data.</t>
  </si>
  <si>
    <t xml:space="preserve">Green-shaded cells = key results. Every other number is a live formula — do not overwrite.</t>
  </si>
  <si>
    <t xml:space="preserve">Green text = value pulled from another sheet.</t>
  </si>
  <si>
    <t xml:space="preserve">Sheets: Calibration (regression and u(x0)) → Inputs (volumetric, reference standard, precision, recovery) → Budget (combination, contributions, expanded uncertainty, reported result).</t>
  </si>
  <si>
    <t xml:space="preserve">Assumptions and limits (state these in your own procedure)</t>
  </si>
  <si>
    <t xml:space="preserve">1. Calibration standards are assumed to carry negligible uncertainty on the x-axis compared with the absorbance scatter (ordinary least squares); the uncertainty of the stock standard is added separately.</t>
  </si>
  <si>
    <t xml:space="preserve">2. Working-standard dilution steps are omitted for brevity. Add one row per pipette/flask used to prepare them in your real method.</t>
  </si>
  <si>
    <t xml:space="preserve">3. The calibration term and the repeatability term partly overlap (both contain instrument noise). Keeping both is slightly conservative and is common practice; say so in your procedure.</t>
  </si>
  <si>
    <t xml:space="preserve">4. Glassware: tolerance treated as a rectangular distribution (÷√3); temperature effect = V × ΔT × γ(water) ÷ √3.</t>
  </si>
  <si>
    <t xml:space="preserve">5. Recovery is tested for significance (|1 − R| / u(R) ≤ 2). If not significant, the result is not corrected and u(R) is included. If significant, correct the result or investigate — the Budget sheet flags this.</t>
  </si>
  <si>
    <t xml:space="preserve">6. k = 2 gives ~95 % coverage assuming enough effective degrees of freedom. Check with Welch–Satterthwaite if a Type A term with few replicates dominates.</t>
  </si>
  <si>
    <t xml:space="preserve">References (cite; do not copy)</t>
  </si>
  <si>
    <t xml:space="preserve">JCGM 100:2008 (GUM) · EURACHEM/CITAC Guide CG4 'Quantifying Uncertainty in Analytical Measurement', 3rd ed. · ISO/IEC 17025:2017 §7.6 · Example method family: ISO 6878 (phosphorus, ammonium molybdate spectrometric method).</t>
  </si>
  <si>
    <t xml:space="preserve">Uncertainty budget and reported result</t>
  </si>
  <si>
    <t xml:space="preserve">Model: c = x0 × Vf / Va  (× repeatability factor × recovery factor, both = 1)</t>
  </si>
  <si>
    <t xml:space="preserve">Quantity</t>
  </si>
  <si>
    <t xml:space="preserve">Value</t>
  </si>
  <si>
    <t xml:space="preserve">Unit</t>
  </si>
  <si>
    <t xml:space="preserve">x0 — concentration in measuring solution</t>
  </si>
  <si>
    <t xml:space="preserve">mg P/L</t>
  </si>
  <si>
    <t xml:space="preserve">Dilution factor Vf / Va</t>
  </si>
  <si>
    <t xml:space="preserve">-</t>
  </si>
  <si>
    <t xml:space="preserve">Result c</t>
  </si>
  <si>
    <t xml:space="preserve">Uncertainty component</t>
  </si>
  <si>
    <t xml:space="preserve">Value x</t>
  </si>
  <si>
    <t xml:space="preserve">Standard uncertainty u(x)</t>
  </si>
  <si>
    <t xml:space="preserve">Type / distribution</t>
  </si>
  <si>
    <t xml:space="preserve">Relative u(x)/x</t>
  </si>
  <si>
    <t xml:space="preserve">Contribution to u_c² (%)</t>
  </si>
  <si>
    <t xml:space="preserve">Calibration curve (x0)</t>
  </si>
  <si>
    <t xml:space="preserve">A — regression (normal)</t>
  </si>
  <si>
    <t xml:space="preserve">Stock standard (certificate)</t>
  </si>
  <si>
    <t xml:space="preserve">B — certificate U/k (normal)</t>
  </si>
  <si>
    <t xml:space="preserve">Sample aliquot Va (pipette)</t>
  </si>
  <si>
    <t xml:space="preserve">mL</t>
  </si>
  <si>
    <t xml:space="preserve">B — tolerance + temperature (rectangular)</t>
  </si>
  <si>
    <t xml:space="preserve">Final volume Vf (flask)</t>
  </si>
  <si>
    <t xml:space="preserve">Repeatability / intermediate precision</t>
  </si>
  <si>
    <t xml:space="preserve">A — replicate QC results</t>
  </si>
  <si>
    <t xml:space="preserve">Recovery R (method bias)</t>
  </si>
  <si>
    <t xml:space="preserve">A — spike recovery, s/√n</t>
  </si>
  <si>
    <t xml:space="preserve">Total</t>
  </si>
  <si>
    <t xml:space="preserve">Combined and expanded uncertainty</t>
  </si>
  <si>
    <t xml:space="preserve">Combined relative standard uncertainty u_c(c)/c</t>
  </si>
  <si>
    <t xml:space="preserve">Combined standard uncertainty u_c(c)</t>
  </si>
  <si>
    <t xml:space="preserve">Coverage factor k</t>
  </si>
  <si>
    <t xml:space="preserve">Expanded uncertainty U = k · u_c</t>
  </si>
  <si>
    <t xml:space="preserve">Relative expanded uncertainty U/c</t>
  </si>
  <si>
    <t xml:space="preserve">Reported result</t>
  </si>
  <si>
    <t xml:space="preserve">Recovery significance test</t>
  </si>
  <si>
    <t xml:space="preserve">t = |1 − R| / u(R)</t>
  </si>
  <si>
    <t xml:space="preserve">Conclusion</t>
  </si>
  <si>
    <t xml:space="preserve">Dominant contribution</t>
  </si>
  <si>
    <t xml:space="preserve">Component</t>
  </si>
  <si>
    <t xml:space="preserve">Largest share of u_c²</t>
  </si>
  <si>
    <t xml:space="preserve">Improve the method where the largest share sits — a smaller term barely changes u_c because terms add in quadrature.</t>
  </si>
  <si>
    <t xml:space="preserve">Calibration line and uncertainty of x0</t>
  </si>
  <si>
    <t xml:space="preserve">Ordinary least-squares regression: absorbance (y) vs concentration (x). Fictional data.</t>
  </si>
  <si>
    <t xml:space="preserve">Level</t>
  </si>
  <si>
    <t xml:space="preserve">Conc. x (mg P/L)</t>
  </si>
  <si>
    <t xml:space="preserve">Absorbance y</t>
  </si>
  <si>
    <t xml:space="preserve">Predicted ŷ</t>
  </si>
  <si>
    <t xml:space="preserve">Residual y − ŷ</t>
  </si>
  <si>
    <t xml:space="preserve">Regression statistic</t>
  </si>
  <si>
    <t xml:space="preserve">Std 0</t>
  </si>
  <si>
    <t xml:space="preserve">Slope b (AU per mg P/L)</t>
  </si>
  <si>
    <t xml:space="preserve">Std 1</t>
  </si>
  <si>
    <t xml:space="preserve">Intercept a (AU)</t>
  </si>
  <si>
    <t xml:space="preserve">Std 2</t>
  </si>
  <si>
    <t xml:space="preserve">Coefficient of determination R²</t>
  </si>
  <si>
    <t xml:space="preserve">Std 3</t>
  </si>
  <si>
    <t xml:space="preserve">Residual standard deviation s(y/x)</t>
  </si>
  <si>
    <t xml:space="preserve">Std 4</t>
  </si>
  <si>
    <t xml:space="preserve">Number of calibration points n</t>
  </si>
  <si>
    <t xml:space="preserve">Std 5</t>
  </si>
  <si>
    <t xml:space="preserve">Mean concentration x̄</t>
  </si>
  <si>
    <t xml:space="preserve">Std 6</t>
  </si>
  <si>
    <t xml:space="preserve">Mean absorbance ȳ</t>
  </si>
  <si>
    <t xml:space="preserve">Sxx = Σ(xi − x̄)²</t>
  </si>
  <si>
    <t xml:space="preserve">Sample reading</t>
  </si>
  <si>
    <t xml:space="preserve">Absorbance y0</t>
  </si>
  <si>
    <t xml:space="preserve">Sample result</t>
  </si>
  <si>
    <t xml:space="preserve">Reading 1</t>
  </si>
  <si>
    <t xml:space="preserve">Number of sample readings p</t>
  </si>
  <si>
    <t xml:space="preserve">Reading 2</t>
  </si>
  <si>
    <t xml:space="preserve">Mean sample absorbance ȳ0</t>
  </si>
  <si>
    <t xml:space="preserve">Reading 3</t>
  </si>
  <si>
    <t xml:space="preserve">x0 = (ȳ0 − a) / b  (mg P/L, measuring solution)</t>
  </si>
  <si>
    <t xml:space="preserve">Reading 4</t>
  </si>
  <si>
    <t xml:space="preserve">u(x0) = s(y/x)/b · √(1/p + 1/n + (ȳ0 − ȳ)² / (b²·Sxx))</t>
  </si>
  <si>
    <t xml:space="preserve">Reading 5</t>
  </si>
  <si>
    <t xml:space="preserve">Relative u(x0) / x0</t>
  </si>
  <si>
    <t xml:space="preserve">Leave unused readings empty (up to 5).</t>
  </si>
  <si>
    <t xml:space="preserve">Range check</t>
  </si>
  <si>
    <t xml:space="preserve">Inputs — volumetric, reference standard, precision, recovery</t>
  </si>
  <si>
    <t xml:space="preserve">Yellow = your data. Source column documents where each value comes from.</t>
  </si>
  <si>
    <t xml:space="preserve">Parameter</t>
  </si>
  <si>
    <t xml:space="preserve">Source / note</t>
  </si>
  <si>
    <t xml:space="preserve">Volumetric operations</t>
  </si>
  <si>
    <t xml:space="preserve">Class A volumetric pipette, nominal volume</t>
  </si>
  <si>
    <t xml:space="preserve">Pipette tolerance (±)</t>
  </si>
  <si>
    <t xml:space="preserve">Manufacturer / class A tolerance (fictional)</t>
  </si>
  <si>
    <t xml:space="preserve">Class A volumetric flask, nominal volume</t>
  </si>
  <si>
    <t xml:space="preserve">Flask tolerance (±)</t>
  </si>
  <si>
    <t xml:space="preserve">Laboratory temperature variation (±)</t>
  </si>
  <si>
    <t xml:space="preserve">°C</t>
  </si>
  <si>
    <t xml:space="preserve">From lab environmental records (fictional)</t>
  </si>
  <si>
    <t xml:space="preserve">Volume expansion coefficient of water γ</t>
  </si>
  <si>
    <t xml:space="preserve">/°C</t>
  </si>
  <si>
    <t xml:space="preserve">Physical constant, ~20 °C</t>
  </si>
  <si>
    <t xml:space="preserve">Reference standard (stock solution)</t>
  </si>
  <si>
    <t xml:space="preserve">Stock standard concentration</t>
  </si>
  <si>
    <t xml:space="preserve">Certificate of the CRM / stock standard (fictional)</t>
  </si>
  <si>
    <t xml:space="preserve">Expanded uncertainty on certificate U</t>
  </si>
  <si>
    <t xml:space="preserve">Certificate (fictional)</t>
  </si>
  <si>
    <t xml:space="preserve">Coverage factor on certificate k</t>
  </si>
  <si>
    <t xml:space="preserve">Certificate</t>
  </si>
  <si>
    <t xml:space="preserve">Precision — replicate results of a QC sample (intermediate conditions)</t>
  </si>
  <si>
    <t xml:space="preserve">QC replicate 1</t>
  </si>
  <si>
    <t xml:space="preserve">Different days/analysts if possible</t>
  </si>
  <si>
    <t xml:space="preserve">QC replicate 2</t>
  </si>
  <si>
    <t xml:space="preserve">QC replicate 3</t>
  </si>
  <si>
    <t xml:space="preserve">QC replicate 4</t>
  </si>
  <si>
    <t xml:space="preserve">QC replicate 5</t>
  </si>
  <si>
    <t xml:space="preserve">QC replicate 6</t>
  </si>
  <si>
    <t xml:space="preserve">QC replicate 7</t>
  </si>
  <si>
    <t xml:space="preserve">QC replicate 8</t>
  </si>
  <si>
    <t xml:space="preserve">QC replicate 9</t>
  </si>
  <si>
    <t xml:space="preserve">QC replicate 10</t>
  </si>
  <si>
    <t xml:space="preserve">Recovery — spiked samples (method bias)</t>
  </si>
  <si>
    <t xml:space="preserve">Spike recovery 1</t>
  </si>
  <si>
    <t xml:space="preserve">%</t>
  </si>
  <si>
    <t xml:space="preserve">(found − unspiked) / added × 100</t>
  </si>
  <si>
    <t xml:space="preserve">Spike recovery 2</t>
  </si>
  <si>
    <t xml:space="preserve">Spike recovery 3</t>
  </si>
  <si>
    <t xml:space="preserve">Spike recovery 4</t>
  </si>
  <si>
    <t xml:space="preserve">Spike recovery 5</t>
  </si>
  <si>
    <t xml:space="preserve">Spike recovery 6</t>
  </si>
  <si>
    <t xml:space="preserve">Reporting</t>
  </si>
  <si>
    <t xml:space="preserve">Coverage factor k for the result</t>
  </si>
  <si>
    <t xml:space="preserve">~95 % coverage</t>
  </si>
  <si>
    <t xml:space="preserve">Number of independent results averaged in the reported value</t>
  </si>
  <si>
    <t xml:space="preserve">1 = single determination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</si>
</sst>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.0000"/>
    <numFmt numFmtId="166" formatCode="0.000"/>
    <numFmt numFmtId="167" formatCode="0.00000"/>
    <numFmt numFmtId="168" formatCode="0.000%"/>
    <numFmt numFmtId="169" formatCode="0.0%"/>
    <numFmt numFmtId="170" formatCode="0.00%"/>
    <numFmt numFmtId="171" formatCode="0"/>
    <numFmt numFmtId="172" formatCode="0.00"/>
    <numFmt numFmtId="173" formatCode="0%"/>
    <numFmt numFmtId="174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2EFDA"/>
        <bgColor rgb="FFD9E1F2"/>
      </patternFill>
    </fill>
    <fill>
      <patternFill patternType="solid">
        <fgColor rgb="FF1F3864"/>
        <bgColor rgb="FF333333"/>
      </patternFill>
    </fill>
    <fill>
      <patternFill patternType="solid">
        <fgColor rgb="FFD9E1F2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9F9F9"/>
      <rgbColor rgb="FFD9E1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Contribution of each component to u_c²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Budget!G9</c:f>
              <c:strCache>
                <c:ptCount val="1"/>
                <c:pt idx="0">
                  <c:v>Contribution to u_c² (%)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Budget!$A$10:$A$15</c:f>
              <c:strCache>
                <c:ptCount val="6"/>
                <c:pt idx="0">
                  <c:v>Calibration curve (x0)</c:v>
                </c:pt>
                <c:pt idx="1">
                  <c:v>Stock standard (certificate)</c:v>
                </c:pt>
                <c:pt idx="2">
                  <c:v>Sample aliquot Va (pipette)</c:v>
                </c:pt>
                <c:pt idx="3">
                  <c:v>Final volume Vf (flask)</c:v>
                </c:pt>
                <c:pt idx="4">
                  <c:v>Repeatability / intermediate precision</c:v>
                </c:pt>
                <c:pt idx="5">
                  <c:v>Recovery R (method bias)</c:v>
                </c:pt>
              </c:strCache>
            </c:strRef>
          </c:cat>
          <c:val>
            <c:numRef>
              <c:f>Budget!$G$10:$G$15</c:f>
              <c:numCache>
                <c:formatCode>0.0%</c:formatCode>
                <c:ptCount val="6"/>
                <c:pt idx="0">
                  <c:v>0.0135708134678565</c:v>
                </c:pt>
                <c:pt idx="1">
                  <c:v>0.00457774703176357</c:v>
                </c:pt>
                <c:pt idx="2">
                  <c:v>0.00718034881088889</c:v>
                </c:pt>
                <c:pt idx="3">
                  <c:v>0.00327400467711731</c:v>
                </c:pt>
                <c:pt idx="4">
                  <c:v>0.804928996046739</c:v>
                </c:pt>
                <c:pt idx="5">
                  <c:v>0.166468089965635</c:v>
                </c:pt>
              </c:numCache>
            </c:numRef>
          </c:val>
        </c:ser>
        <c:gapWidth val="150"/>
        <c:overlap val="0"/>
        <c:axId val="35750220"/>
        <c:axId val="22377614"/>
      </c:barChart>
      <c:catAx>
        <c:axId val="357502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2377614"/>
        <c:crosses val="autoZero"/>
        <c:auto val="1"/>
        <c:lblAlgn val="ctr"/>
        <c:lblOffset val="100"/>
        <c:noMultiLvlLbl val="0"/>
      </c:catAx>
      <c:valAx>
        <c:axId val="2237761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Share of combined variance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75022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160920</xdr:rowOff>
    </xdr:from>
    <xdr:to>
      <xdr:col>18</xdr:col>
      <xdr:colOff>364320</xdr:colOff>
      <xdr:row>17</xdr:row>
      <xdr:rowOff>70560</xdr:rowOff>
    </xdr:to>
    <xdr:graphicFrame>
      <xdr:nvGraphicFramePr>
        <xdr:cNvPr id="0" name="Chart 1"/>
        <xdr:cNvGraphicFramePr/>
      </xdr:nvGraphicFramePr>
      <xdr:xfrm>
        <a:off x="11889000" y="5716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3.85" hidden="false" customHeight="false" outlineLevel="0" collapsed="false">
      <c r="A4" s="2" t="s">
        <v>2</v>
      </c>
    </row>
    <row r="5" customFormat="false" ht="15" hidden="false" customHeight="false" outlineLevel="0" collapsed="false">
      <c r="A5" s="3" t="s">
        <v>3</v>
      </c>
    </row>
    <row r="7" customFormat="false" ht="35.05" hidden="false" customHeight="false" outlineLevel="0" collapsed="false">
      <c r="A7" s="2" t="s">
        <v>4</v>
      </c>
    </row>
    <row r="8" customFormat="false" ht="15" hidden="false" customHeight="false" outlineLevel="0" collapsed="false">
      <c r="A8" s="3" t="s">
        <v>5</v>
      </c>
    </row>
    <row r="10" customFormat="false" ht="15" hidden="false" customHeight="false" outlineLevel="0" collapsed="false">
      <c r="A10" s="2" t="s">
        <v>6</v>
      </c>
    </row>
    <row r="11" customFormat="false" ht="23.85" hidden="false" customHeight="false" outlineLevel="0" collapsed="false">
      <c r="A11" s="2" t="s">
        <v>7</v>
      </c>
    </row>
    <row r="12" customFormat="false" ht="15" hidden="false" customHeight="false" outlineLevel="0" collapsed="false">
      <c r="A12" s="3" t="s">
        <v>8</v>
      </c>
    </row>
    <row r="14" customFormat="false" ht="23.85" hidden="false" customHeight="false" outlineLevel="0" collapsed="false">
      <c r="A14" s="4" t="s">
        <v>9</v>
      </c>
    </row>
    <row r="15" customFormat="false" ht="15" hidden="false" customHeight="false" outlineLevel="0" collapsed="false">
      <c r="A15" s="5" t="s">
        <v>10</v>
      </c>
    </row>
    <row r="16" customFormat="false" ht="15" hidden="false" customHeight="false" outlineLevel="0" collapsed="false">
      <c r="A16" s="6" t="s">
        <v>11</v>
      </c>
    </row>
    <row r="17" customFormat="false" ht="23.85" hidden="false" customHeight="false" outlineLevel="0" collapsed="false">
      <c r="A17" s="2" t="s">
        <v>12</v>
      </c>
    </row>
    <row r="18" customFormat="false" ht="15" hidden="false" customHeight="false" outlineLevel="0" collapsed="false">
      <c r="A18" s="3" t="s">
        <v>13</v>
      </c>
    </row>
    <row r="20" customFormat="false" ht="23.85" hidden="false" customHeight="false" outlineLevel="0" collapsed="false">
      <c r="A20" s="2" t="s">
        <v>14</v>
      </c>
    </row>
    <row r="21" customFormat="false" ht="15" hidden="false" customHeight="false" outlineLevel="0" collapsed="false">
      <c r="A21" s="2" t="s">
        <v>15</v>
      </c>
    </row>
    <row r="22" customFormat="false" ht="23.85" hidden="false" customHeight="false" outlineLevel="0" collapsed="false">
      <c r="A22" s="2" t="s">
        <v>16</v>
      </c>
    </row>
    <row r="23" customFormat="false" ht="15" hidden="false" customHeight="false" outlineLevel="0" collapsed="false">
      <c r="A23" s="2" t="s">
        <v>17</v>
      </c>
    </row>
    <row r="24" customFormat="false" ht="23.85" hidden="false" customHeight="false" outlineLevel="0" collapsed="false">
      <c r="A24" s="2" t="s">
        <v>18</v>
      </c>
    </row>
    <row r="25" customFormat="false" ht="23.85" hidden="false" customHeight="false" outlineLevel="0" collapsed="false">
      <c r="A25" s="2" t="s">
        <v>19</v>
      </c>
    </row>
    <row r="26" customFormat="false" ht="15" hidden="false" customHeight="false" outlineLevel="0" collapsed="false">
      <c r="A26" s="3" t="s">
        <v>20</v>
      </c>
    </row>
    <row r="28" customFormat="false" ht="23.85" hidden="false" customHeight="false" outlineLevel="0" collapsed="false">
      <c r="A28" s="2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5" min="5" style="0" width="38"/>
    <col collapsed="false" customWidth="true" hidden="false" outlineLevel="0" max="6" min="6" style="0" width="15"/>
    <col collapsed="false" customWidth="true" hidden="false" outlineLevel="0" max="7" min="7" style="0" width="17"/>
  </cols>
  <sheetData>
    <row r="1" customFormat="false" ht="17.35" hidden="false" customHeight="false" outlineLevel="0" collapsed="false">
      <c r="A1" s="1" t="s">
        <v>22</v>
      </c>
    </row>
    <row r="2" customFormat="false" ht="15" hidden="false" customHeight="false" outlineLevel="0" collapsed="false">
      <c r="A2" s="7" t="s">
        <v>23</v>
      </c>
    </row>
    <row r="4" customFormat="false" ht="15" hidden="false" customHeight="false" outlineLevel="0" collapsed="false">
      <c r="A4" s="8" t="s">
        <v>24</v>
      </c>
      <c r="B4" s="8" t="s">
        <v>25</v>
      </c>
      <c r="C4" s="8" t="s">
        <v>26</v>
      </c>
    </row>
    <row r="5" customFormat="false" ht="15" hidden="false" customHeight="false" outlineLevel="0" collapsed="false">
      <c r="A5" s="9" t="s">
        <v>27</v>
      </c>
      <c r="B5" s="10" t="n">
        <f aca="false">Calibration!H17</f>
        <v>0.514166144923716</v>
      </c>
      <c r="C5" s="9" t="s">
        <v>28</v>
      </c>
    </row>
    <row r="6" customFormat="false" ht="15" hidden="false" customHeight="false" outlineLevel="0" collapsed="false">
      <c r="A6" s="9" t="s">
        <v>29</v>
      </c>
      <c r="B6" s="11" t="n">
        <f aca="false">Inputs!B8/Inputs!B6</f>
        <v>5</v>
      </c>
      <c r="C6" s="9" t="s">
        <v>30</v>
      </c>
    </row>
    <row r="7" customFormat="false" ht="15" hidden="false" customHeight="false" outlineLevel="0" collapsed="false">
      <c r="A7" s="12" t="s">
        <v>31</v>
      </c>
      <c r="B7" s="13" t="n">
        <f aca="false">B5*B6</f>
        <v>2.57083072461858</v>
      </c>
      <c r="C7" s="9" t="s">
        <v>28</v>
      </c>
    </row>
    <row r="9" customFormat="false" ht="23.85" hidden="false" customHeight="false" outlineLevel="0" collapsed="false">
      <c r="A9" s="8" t="s">
        <v>32</v>
      </c>
      <c r="B9" s="8" t="s">
        <v>33</v>
      </c>
      <c r="C9" s="8" t="s">
        <v>34</v>
      </c>
      <c r="D9" s="8" t="s">
        <v>26</v>
      </c>
      <c r="E9" s="8" t="s">
        <v>35</v>
      </c>
      <c r="F9" s="8" t="s">
        <v>36</v>
      </c>
      <c r="G9" s="8" t="s">
        <v>37</v>
      </c>
    </row>
    <row r="10" customFormat="false" ht="15" hidden="false" customHeight="false" outlineLevel="0" collapsed="false">
      <c r="A10" s="9" t="s">
        <v>38</v>
      </c>
      <c r="B10" s="10" t="n">
        <f aca="false">Calibration!H17</f>
        <v>0.514166144923716</v>
      </c>
      <c r="C10" s="14" t="n">
        <f aca="false">Calibration!H18</f>
        <v>0.00088527973526356</v>
      </c>
      <c r="D10" s="9" t="s">
        <v>28</v>
      </c>
      <c r="E10" s="9" t="s">
        <v>39</v>
      </c>
      <c r="F10" s="15" t="n">
        <f aca="false">C10/B10</f>
        <v>0.00172177756937868</v>
      </c>
      <c r="G10" s="16" t="n">
        <f aca="false">F10^2/SUMSQ($F$10:$F$15)</f>
        <v>0.0135708134678565</v>
      </c>
    </row>
    <row r="11" customFormat="false" ht="15" hidden="false" customHeight="false" outlineLevel="0" collapsed="false">
      <c r="A11" s="9" t="s">
        <v>40</v>
      </c>
      <c r="B11" s="10" t="n">
        <f aca="false">Inputs!B14</f>
        <v>1000</v>
      </c>
      <c r="C11" s="14" t="n">
        <f aca="false">Inputs!B15/Inputs!B16</f>
        <v>1</v>
      </c>
      <c r="D11" s="9" t="s">
        <v>28</v>
      </c>
      <c r="E11" s="9" t="s">
        <v>41</v>
      </c>
      <c r="F11" s="15" t="n">
        <f aca="false">C11/B11</f>
        <v>0.001</v>
      </c>
      <c r="G11" s="16" t="n">
        <f aca="false">F11^2/SUMSQ($F$10:$F$15)</f>
        <v>0.00457774703176357</v>
      </c>
    </row>
    <row r="12" customFormat="false" ht="15" hidden="false" customHeight="false" outlineLevel="0" collapsed="false">
      <c r="A12" s="9" t="s">
        <v>42</v>
      </c>
      <c r="B12" s="10" t="n">
        <f aca="false">Inputs!B6</f>
        <v>10</v>
      </c>
      <c r="C12" s="14" t="n">
        <f aca="false">SQRT((Inputs!B7/SQRT(3))^2+(Inputs!B6*Inputs!B10*Inputs!B11/SQRT(3))^2)</f>
        <v>0.0125241100814922</v>
      </c>
      <c r="D12" s="9" t="s">
        <v>43</v>
      </c>
      <c r="E12" s="9" t="s">
        <v>44</v>
      </c>
      <c r="F12" s="15" t="n">
        <f aca="false">C12/B12</f>
        <v>0.00125241100814922</v>
      </c>
      <c r="G12" s="16" t="n">
        <f aca="false">F12^2/SUMSQ($F$10:$F$15)</f>
        <v>0.00718034881088889</v>
      </c>
    </row>
    <row r="13" customFormat="false" ht="15" hidden="false" customHeight="false" outlineLevel="0" collapsed="false">
      <c r="A13" s="9" t="s">
        <v>45</v>
      </c>
      <c r="B13" s="10" t="n">
        <f aca="false">Inputs!B8</f>
        <v>50</v>
      </c>
      <c r="C13" s="14" t="n">
        <f aca="false">SQRT((Inputs!B9/SQRT(3))^2+(Inputs!B8*Inputs!B10*Inputs!B11/SQRT(3))^2)</f>
        <v>0.042284749023732</v>
      </c>
      <c r="D13" s="9" t="s">
        <v>43</v>
      </c>
      <c r="E13" s="9" t="s">
        <v>44</v>
      </c>
      <c r="F13" s="15" t="n">
        <f aca="false">C13/B13</f>
        <v>0.000845694980474639</v>
      </c>
      <c r="G13" s="16" t="n">
        <f aca="false">F13^2/SUMSQ($F$10:$F$15)</f>
        <v>0.00327400467711731</v>
      </c>
    </row>
    <row r="14" customFormat="false" ht="15" hidden="false" customHeight="false" outlineLevel="0" collapsed="false">
      <c r="A14" s="9" t="s">
        <v>46</v>
      </c>
      <c r="B14" s="10" t="n">
        <f aca="false">AVERAGE(Inputs!B19:B28)</f>
        <v>2.545</v>
      </c>
      <c r="C14" s="14" t="n">
        <f aca="false">STDEV(Inputs!B19:B28)/SQRT(Inputs!B40)</f>
        <v>0.0337474278855277</v>
      </c>
      <c r="D14" s="9" t="s">
        <v>28</v>
      </c>
      <c r="E14" s="9" t="s">
        <v>47</v>
      </c>
      <c r="F14" s="15" t="n">
        <f aca="false">C14/B14</f>
        <v>0.0132602860061012</v>
      </c>
      <c r="G14" s="16" t="n">
        <f aca="false">F14^2/SUMSQ($F$10:$F$15)</f>
        <v>0.804928996046739</v>
      </c>
    </row>
    <row r="15" customFormat="false" ht="15" hidden="false" customHeight="false" outlineLevel="0" collapsed="false">
      <c r="A15" s="9" t="s">
        <v>48</v>
      </c>
      <c r="B15" s="10" t="n">
        <f aca="false">AVERAGE(Inputs!B31:B36)/100</f>
        <v>0.994666666666667</v>
      </c>
      <c r="C15" s="14" t="n">
        <f aca="false">STDEV(Inputs!B31:B36)/100/SQRT(COUNT(Inputs!B31:B36))</f>
        <v>0.00599814786228031</v>
      </c>
      <c r="D15" s="9" t="s">
        <v>30</v>
      </c>
      <c r="E15" s="9" t="s">
        <v>49</v>
      </c>
      <c r="F15" s="15" t="n">
        <f aca="false">C15/B15</f>
        <v>0.0060303095130164</v>
      </c>
      <c r="G15" s="16" t="n">
        <f aca="false">F15^2/SUMSQ($F$10:$F$15)</f>
        <v>0.166468089965635</v>
      </c>
    </row>
    <row r="16" customFormat="false" ht="15" hidden="false" customHeight="false" outlineLevel="0" collapsed="false">
      <c r="A16" s="12" t="s">
        <v>50</v>
      </c>
      <c r="G16" s="17" t="n">
        <f aca="false">SUM(G10:G15)</f>
        <v>1</v>
      </c>
    </row>
    <row r="18" customFormat="false" ht="15" hidden="false" customHeight="false" outlineLevel="0" collapsed="false">
      <c r="A18" s="8" t="s">
        <v>51</v>
      </c>
      <c r="B18" s="8" t="s">
        <v>25</v>
      </c>
      <c r="C18" s="8" t="s">
        <v>26</v>
      </c>
    </row>
    <row r="19" customFormat="false" ht="15" hidden="false" customHeight="false" outlineLevel="0" collapsed="false">
      <c r="A19" s="9" t="s">
        <v>52</v>
      </c>
      <c r="B19" s="18" t="n">
        <f aca="false">SQRT(SUMSQ(F10:F15))</f>
        <v>0.0147799888064277</v>
      </c>
      <c r="C19" s="9" t="s">
        <v>30</v>
      </c>
    </row>
    <row r="20" customFormat="false" ht="15" hidden="false" customHeight="false" outlineLevel="0" collapsed="false">
      <c r="A20" s="9" t="s">
        <v>53</v>
      </c>
      <c r="B20" s="19" t="n">
        <f aca="false">B19*B7</f>
        <v>0.0379968493330831</v>
      </c>
      <c r="C20" s="9" t="s">
        <v>28</v>
      </c>
    </row>
    <row r="21" customFormat="false" ht="15" hidden="false" customHeight="false" outlineLevel="0" collapsed="false">
      <c r="A21" s="9" t="s">
        <v>54</v>
      </c>
      <c r="B21" s="20" t="n">
        <f aca="false">Inputs!B39</f>
        <v>2</v>
      </c>
      <c r="C21" s="9" t="s">
        <v>30</v>
      </c>
    </row>
    <row r="22" customFormat="false" ht="15" hidden="false" customHeight="false" outlineLevel="0" collapsed="false">
      <c r="A22" s="12" t="s">
        <v>55</v>
      </c>
      <c r="B22" s="13" t="n">
        <f aca="false">B21*B20</f>
        <v>0.0759936986661662</v>
      </c>
      <c r="C22" s="9" t="s">
        <v>28</v>
      </c>
    </row>
    <row r="23" customFormat="false" ht="15" hidden="false" customHeight="false" outlineLevel="0" collapsed="false">
      <c r="A23" s="12" t="s">
        <v>56</v>
      </c>
      <c r="B23" s="21" t="n">
        <f aca="false">B22/B7</f>
        <v>0.0295599776128555</v>
      </c>
      <c r="C23" s="9" t="s">
        <v>30</v>
      </c>
    </row>
    <row r="25" customFormat="false" ht="15" hidden="false" customHeight="false" outlineLevel="0" collapsed="false">
      <c r="A25" s="12" t="s">
        <v>57</v>
      </c>
      <c r="B25" s="22" t="str">
        <f aca="false">"c = "&amp;TEXT(B7,"0.00")&amp;" ± "&amp;TEXT(B22,"0.00")&amp;" mg P/L (k = "&amp;B21&amp;", approx. 95 % coverage)"</f>
        <v>c = 2.57 ± 0.08 mg P/L (k = 2, approx. 95 % coverage)</v>
      </c>
      <c r="C25" s="22"/>
      <c r="D25" s="22"/>
      <c r="E25" s="22"/>
    </row>
    <row r="27" customFormat="false" ht="15" hidden="false" customHeight="false" outlineLevel="0" collapsed="false">
      <c r="A27" s="8" t="s">
        <v>58</v>
      </c>
      <c r="B27" s="8" t="s">
        <v>25</v>
      </c>
      <c r="C27" s="8" t="s">
        <v>26</v>
      </c>
    </row>
    <row r="28" customFormat="false" ht="15" hidden="false" customHeight="false" outlineLevel="0" collapsed="false">
      <c r="A28" s="9" t="s">
        <v>59</v>
      </c>
      <c r="B28" s="23" t="n">
        <f aca="false">ABS(1-B15)/C15</f>
        <v>0.889163364389928</v>
      </c>
      <c r="C28" s="9" t="s">
        <v>30</v>
      </c>
    </row>
    <row r="29" customFormat="false" ht="15" hidden="false" customHeight="false" outlineLevel="0" collapsed="false">
      <c r="A29" s="9" t="s">
        <v>60</v>
      </c>
      <c r="B29" s="24" t="str">
        <f aca="false">IF(B28&lt;=2,"Bias not significant (t &lt;= 2): result not corrected, u(R) included","Bias significant (t &gt; 2): correct the result for recovery or investigate")</f>
        <v>Bias not significant (t &lt;= 2): result not corrected, u(R) included</v>
      </c>
      <c r="C29" s="24"/>
      <c r="D29" s="24"/>
      <c r="E29" s="24"/>
    </row>
    <row r="31" customFormat="false" ht="15" hidden="false" customHeight="false" outlineLevel="0" collapsed="false">
      <c r="A31" s="8" t="s">
        <v>61</v>
      </c>
      <c r="B31" s="8" t="s">
        <v>62</v>
      </c>
    </row>
    <row r="32" customFormat="false" ht="15" hidden="false" customHeight="false" outlineLevel="0" collapsed="false">
      <c r="A32" s="9" t="s">
        <v>63</v>
      </c>
      <c r="B32" s="24" t="str">
        <f aca="false">INDEX(A10:A15,MATCH(MAX(G10:G15),G10:G15,0))</f>
        <v>Repeatability / intermediate precision</v>
      </c>
      <c r="C32" s="24"/>
      <c r="D32" s="24"/>
      <c r="E32" s="24"/>
    </row>
    <row r="33" customFormat="false" ht="15" hidden="false" customHeight="true" outlineLevel="0" collapsed="false">
      <c r="A33" s="25" t="s">
        <v>64</v>
      </c>
      <c r="B33" s="25"/>
      <c r="C33" s="25"/>
      <c r="D33" s="25"/>
      <c r="E33" s="25"/>
      <c r="F33" s="25"/>
      <c r="G33" s="25"/>
    </row>
  </sheetData>
  <mergeCells count="4">
    <mergeCell ref="B25:E25"/>
    <mergeCell ref="B29:E29"/>
    <mergeCell ref="B32:E32"/>
    <mergeCell ref="A33:G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3"/>
    <col collapsed="false" customWidth="true" hidden="false" outlineLevel="0" max="7" min="7" style="0" width="52"/>
    <col collapsed="false" customWidth="true" hidden="false" outlineLevel="0" max="8" min="8" style="0" width="26"/>
  </cols>
  <sheetData>
    <row r="1" customFormat="false" ht="17.35" hidden="false" customHeight="false" outlineLevel="0" collapsed="false">
      <c r="A1" s="1" t="s">
        <v>65</v>
      </c>
    </row>
    <row r="2" customFormat="false" ht="15" hidden="false" customHeight="false" outlineLevel="0" collapsed="false">
      <c r="A2" s="7" t="s">
        <v>66</v>
      </c>
    </row>
    <row r="4" customFormat="false" ht="15" hidden="false" customHeight="false" outlineLevel="0" collapsed="false">
      <c r="A4" s="8" t="s">
        <v>67</v>
      </c>
      <c r="B4" s="8" t="s">
        <v>68</v>
      </c>
      <c r="C4" s="8" t="s">
        <v>69</v>
      </c>
      <c r="D4" s="8" t="s">
        <v>70</v>
      </c>
      <c r="E4" s="8" t="s">
        <v>71</v>
      </c>
      <c r="G4" s="8" t="s">
        <v>72</v>
      </c>
      <c r="H4" s="8" t="s">
        <v>25</v>
      </c>
    </row>
    <row r="5" customFormat="false" ht="15" hidden="false" customHeight="false" outlineLevel="0" collapsed="false">
      <c r="A5" s="9" t="s">
        <v>73</v>
      </c>
      <c r="B5" s="26" t="n">
        <v>0</v>
      </c>
      <c r="C5" s="27" t="n">
        <v>0.003</v>
      </c>
      <c r="D5" s="19" t="n">
        <f aca="false">$H$6+$H$5*B5</f>
        <v>0.00323037542662111</v>
      </c>
      <c r="E5" s="19" t="n">
        <f aca="false">C5-D5</f>
        <v>-0.000230375426621107</v>
      </c>
      <c r="G5" s="9" t="s">
        <v>74</v>
      </c>
      <c r="H5" s="28" t="n">
        <f aca="false">SLOPE(C5:C11,B5:B11)</f>
        <v>0.517866894197952</v>
      </c>
    </row>
    <row r="6" customFormat="false" ht="15" hidden="false" customHeight="false" outlineLevel="0" collapsed="false">
      <c r="A6" s="9" t="s">
        <v>75</v>
      </c>
      <c r="B6" s="26" t="n">
        <v>0.1</v>
      </c>
      <c r="C6" s="27" t="n">
        <v>0.055</v>
      </c>
      <c r="D6" s="19" t="n">
        <f aca="false">$H$6+$H$5*B6</f>
        <v>0.0550170648464163</v>
      </c>
      <c r="E6" s="19" t="n">
        <f aca="false">C6-D6</f>
        <v>-1.7064846416337E-005</v>
      </c>
      <c r="G6" s="9" t="s">
        <v>76</v>
      </c>
      <c r="H6" s="28" t="n">
        <f aca="false">INTERCEPT(C5:C11,B5:B11)</f>
        <v>0.00323037542662111</v>
      </c>
    </row>
    <row r="7" customFormat="false" ht="15" hidden="false" customHeight="false" outlineLevel="0" collapsed="false">
      <c r="A7" s="9" t="s">
        <v>77</v>
      </c>
      <c r="B7" s="26" t="n">
        <v>0.2</v>
      </c>
      <c r="C7" s="27" t="n">
        <v>0.107</v>
      </c>
      <c r="D7" s="19" t="n">
        <f aca="false">$H$6+$H$5*B7</f>
        <v>0.106803754266212</v>
      </c>
      <c r="E7" s="19" t="n">
        <f aca="false">C7-D7</f>
        <v>0.00019624573378843</v>
      </c>
      <c r="G7" s="9" t="s">
        <v>78</v>
      </c>
      <c r="H7" s="28" t="n">
        <f aca="false">RSQ(C5:C11,B5:B11)</f>
        <v>0.999992786773153</v>
      </c>
    </row>
    <row r="8" customFormat="false" ht="15" hidden="false" customHeight="false" outlineLevel="0" collapsed="false">
      <c r="A8" s="9" t="s">
        <v>79</v>
      </c>
      <c r="B8" s="26" t="n">
        <v>0.4</v>
      </c>
      <c r="C8" s="27" t="n">
        <v>0.211</v>
      </c>
      <c r="D8" s="19" t="n">
        <f aca="false">$H$6+$H$5*B8</f>
        <v>0.210377133105802</v>
      </c>
      <c r="E8" s="19" t="n">
        <f aca="false">C8-D8</f>
        <v>0.000622866894197965</v>
      </c>
      <c r="G8" s="9" t="s">
        <v>80</v>
      </c>
      <c r="H8" s="28" t="n">
        <f aca="false">STEYX(C5:C11,B5:B11)</f>
        <v>0.000569114035126669</v>
      </c>
    </row>
    <row r="9" customFormat="false" ht="15" hidden="false" customHeight="false" outlineLevel="0" collapsed="false">
      <c r="A9" s="9" t="s">
        <v>81</v>
      </c>
      <c r="B9" s="26" t="n">
        <v>0.6</v>
      </c>
      <c r="C9" s="27" t="n">
        <v>0.313</v>
      </c>
      <c r="D9" s="19" t="n">
        <f aca="false">$H$6+$H$5*B9</f>
        <v>0.313950511945393</v>
      </c>
      <c r="E9" s="19" t="n">
        <f aca="false">C9-D9</f>
        <v>-0.000950511945392474</v>
      </c>
      <c r="G9" s="9" t="s">
        <v>82</v>
      </c>
      <c r="H9" s="29" t="n">
        <f aca="false">COUNT(B5:B11)</f>
        <v>7</v>
      </c>
    </row>
    <row r="10" customFormat="false" ht="15" hidden="false" customHeight="false" outlineLevel="0" collapsed="false">
      <c r="A10" s="9" t="s">
        <v>83</v>
      </c>
      <c r="B10" s="26" t="n">
        <v>0.8</v>
      </c>
      <c r="C10" s="27" t="n">
        <v>0.418</v>
      </c>
      <c r="D10" s="19" t="n">
        <f aca="false">$H$6+$H$5*B10</f>
        <v>0.417523890784983</v>
      </c>
      <c r="E10" s="19" t="n">
        <f aca="false">C10-D10</f>
        <v>0.000476109215017007</v>
      </c>
      <c r="G10" s="9" t="s">
        <v>84</v>
      </c>
      <c r="H10" s="19" t="n">
        <f aca="false">AVERAGE(B5:B11)</f>
        <v>0.442857142857143</v>
      </c>
    </row>
    <row r="11" customFormat="false" ht="15" hidden="false" customHeight="false" outlineLevel="0" collapsed="false">
      <c r="A11" s="9" t="s">
        <v>85</v>
      </c>
      <c r="B11" s="26" t="n">
        <v>1</v>
      </c>
      <c r="C11" s="27" t="n">
        <v>0.521</v>
      </c>
      <c r="D11" s="19" t="n">
        <f aca="false">$H$6+$H$5*B11</f>
        <v>0.521097269624573</v>
      </c>
      <c r="E11" s="19" t="n">
        <f aca="false">C11-D11</f>
        <v>-9.72696245733484E-005</v>
      </c>
      <c r="G11" s="9" t="s">
        <v>86</v>
      </c>
      <c r="H11" s="19" t="n">
        <f aca="false">AVERAGE(C5:C11)</f>
        <v>0.232571428571429</v>
      </c>
    </row>
    <row r="12" customFormat="false" ht="15" hidden="false" customHeight="false" outlineLevel="0" collapsed="false">
      <c r="G12" s="9" t="s">
        <v>87</v>
      </c>
      <c r="H12" s="19" t="n">
        <f aca="false">DEVSQ(B5:B11)</f>
        <v>0.837142857142857</v>
      </c>
    </row>
    <row r="14" customFormat="false" ht="15" hidden="false" customHeight="false" outlineLevel="0" collapsed="false">
      <c r="A14" s="8" t="s">
        <v>88</v>
      </c>
      <c r="B14" s="8" t="s">
        <v>89</v>
      </c>
      <c r="G14" s="8" t="s">
        <v>90</v>
      </c>
      <c r="H14" s="8" t="s">
        <v>25</v>
      </c>
    </row>
    <row r="15" customFormat="false" ht="15" hidden="false" customHeight="false" outlineLevel="0" collapsed="false">
      <c r="A15" s="9" t="s">
        <v>91</v>
      </c>
      <c r="B15" s="27" t="n">
        <v>0.268</v>
      </c>
      <c r="G15" s="9" t="s">
        <v>92</v>
      </c>
      <c r="H15" s="29" t="n">
        <f aca="false">COUNT(B15:B19)</f>
        <v>2</v>
      </c>
    </row>
    <row r="16" customFormat="false" ht="15" hidden="false" customHeight="false" outlineLevel="0" collapsed="false">
      <c r="A16" s="9" t="s">
        <v>93</v>
      </c>
      <c r="B16" s="27" t="n">
        <v>0.271</v>
      </c>
      <c r="G16" s="9" t="s">
        <v>94</v>
      </c>
      <c r="H16" s="19" t="n">
        <f aca="false">AVERAGE(B15:B19)</f>
        <v>0.2695</v>
      </c>
    </row>
    <row r="17" customFormat="false" ht="15" hidden="false" customHeight="false" outlineLevel="0" collapsed="false">
      <c r="A17" s="9" t="s">
        <v>95</v>
      </c>
      <c r="B17" s="27"/>
      <c r="G17" s="9" t="s">
        <v>96</v>
      </c>
      <c r="H17" s="30" t="n">
        <f aca="false">(H16-H6)/H5</f>
        <v>0.514166144923716</v>
      </c>
    </row>
    <row r="18" customFormat="false" ht="15" hidden="false" customHeight="false" outlineLevel="0" collapsed="false">
      <c r="A18" s="9" t="s">
        <v>97</v>
      </c>
      <c r="B18" s="27"/>
      <c r="G18" s="9" t="s">
        <v>98</v>
      </c>
      <c r="H18" s="31" t="n">
        <f aca="false">H8/H5*SQRT(1/H15+1/H9+(H16-H11)^2/(H5^2*H12))</f>
        <v>0.00088527973526356</v>
      </c>
    </row>
    <row r="19" customFormat="false" ht="15" hidden="false" customHeight="false" outlineLevel="0" collapsed="false">
      <c r="A19" s="9" t="s">
        <v>99</v>
      </c>
      <c r="B19" s="27"/>
      <c r="G19" s="9" t="s">
        <v>100</v>
      </c>
      <c r="H19" s="18" t="n">
        <f aca="false">H18/H17</f>
        <v>0.00172177756937868</v>
      </c>
    </row>
    <row r="20" customFormat="false" ht="32.8" hidden="false" customHeight="false" outlineLevel="0" collapsed="false">
      <c r="A20" s="32" t="s">
        <v>101</v>
      </c>
      <c r="G20" s="9" t="s">
        <v>102</v>
      </c>
      <c r="H20" s="33" t="str">
        <f aca="false">IF(AND(H17&gt;=MIN(B5:B11),H17&lt;=MAX(B5:B11)),"Within calibration range","OUTSIDE range - dilute and re-run")</f>
        <v>Within calibration range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50"/>
  </cols>
  <sheetData>
    <row r="1" customFormat="false" ht="17.35" hidden="false" customHeight="false" outlineLevel="0" collapsed="false">
      <c r="A1" s="1" t="s">
        <v>103</v>
      </c>
    </row>
    <row r="2" customFormat="false" ht="15" hidden="false" customHeight="false" outlineLevel="0" collapsed="false">
      <c r="A2" s="7" t="s">
        <v>104</v>
      </c>
    </row>
    <row r="4" customFormat="false" ht="15" hidden="false" customHeight="false" outlineLevel="0" collapsed="false">
      <c r="A4" s="8" t="s">
        <v>105</v>
      </c>
      <c r="B4" s="8" t="s">
        <v>25</v>
      </c>
      <c r="C4" s="8" t="s">
        <v>26</v>
      </c>
      <c r="D4" s="8" t="s">
        <v>106</v>
      </c>
    </row>
    <row r="5" customFormat="false" ht="15" hidden="false" customHeight="false" outlineLevel="0" collapsed="false">
      <c r="A5" s="34" t="s">
        <v>107</v>
      </c>
      <c r="B5" s="35"/>
      <c r="C5" s="35"/>
      <c r="D5" s="35"/>
    </row>
    <row r="6" customFormat="false" ht="15" hidden="false" customHeight="false" outlineLevel="0" collapsed="false">
      <c r="A6" s="9" t="s">
        <v>42</v>
      </c>
      <c r="B6" s="36" t="n">
        <v>10</v>
      </c>
      <c r="C6" s="9" t="s">
        <v>43</v>
      </c>
      <c r="D6" s="32" t="s">
        <v>108</v>
      </c>
    </row>
    <row r="7" customFormat="false" ht="15" hidden="false" customHeight="false" outlineLevel="0" collapsed="false">
      <c r="A7" s="9" t="s">
        <v>109</v>
      </c>
      <c r="B7" s="26" t="n">
        <v>0.02</v>
      </c>
      <c r="C7" s="9" t="s">
        <v>43</v>
      </c>
      <c r="D7" s="32" t="s">
        <v>110</v>
      </c>
    </row>
    <row r="8" customFormat="false" ht="15" hidden="false" customHeight="false" outlineLevel="0" collapsed="false">
      <c r="A8" s="9" t="s">
        <v>45</v>
      </c>
      <c r="B8" s="36" t="n">
        <v>50</v>
      </c>
      <c r="C8" s="9" t="s">
        <v>43</v>
      </c>
      <c r="D8" s="32" t="s">
        <v>111</v>
      </c>
    </row>
    <row r="9" customFormat="false" ht="15" hidden="false" customHeight="false" outlineLevel="0" collapsed="false">
      <c r="A9" s="9" t="s">
        <v>112</v>
      </c>
      <c r="B9" s="26" t="n">
        <v>0.06</v>
      </c>
      <c r="C9" s="9" t="s">
        <v>43</v>
      </c>
      <c r="D9" s="32" t="s">
        <v>110</v>
      </c>
    </row>
    <row r="10" customFormat="false" ht="15" hidden="false" customHeight="false" outlineLevel="0" collapsed="false">
      <c r="A10" s="9" t="s">
        <v>113</v>
      </c>
      <c r="B10" s="37" t="n">
        <v>4</v>
      </c>
      <c r="C10" s="9" t="s">
        <v>114</v>
      </c>
      <c r="D10" s="32" t="s">
        <v>115</v>
      </c>
    </row>
    <row r="11" customFormat="false" ht="15" hidden="false" customHeight="false" outlineLevel="0" collapsed="false">
      <c r="A11" s="9" t="s">
        <v>116</v>
      </c>
      <c r="B11" s="38" t="n">
        <v>0.00021</v>
      </c>
      <c r="C11" s="9" t="s">
        <v>117</v>
      </c>
      <c r="D11" s="32" t="s">
        <v>118</v>
      </c>
    </row>
    <row r="13" customFormat="false" ht="15" hidden="false" customHeight="false" outlineLevel="0" collapsed="false">
      <c r="A13" s="34" t="s">
        <v>119</v>
      </c>
      <c r="B13" s="35"/>
      <c r="C13" s="35"/>
      <c r="D13" s="35"/>
    </row>
    <row r="14" customFormat="false" ht="15" hidden="false" customHeight="false" outlineLevel="0" collapsed="false">
      <c r="A14" s="9" t="s">
        <v>120</v>
      </c>
      <c r="B14" s="37" t="n">
        <v>1000</v>
      </c>
      <c r="C14" s="9" t="s">
        <v>28</v>
      </c>
      <c r="D14" s="32" t="s">
        <v>121</v>
      </c>
    </row>
    <row r="15" customFormat="false" ht="15" hidden="false" customHeight="false" outlineLevel="0" collapsed="false">
      <c r="A15" s="9" t="s">
        <v>122</v>
      </c>
      <c r="B15" s="36" t="n">
        <v>2</v>
      </c>
      <c r="C15" s="9" t="s">
        <v>28</v>
      </c>
      <c r="D15" s="32" t="s">
        <v>123</v>
      </c>
    </row>
    <row r="16" customFormat="false" ht="15" hidden="false" customHeight="false" outlineLevel="0" collapsed="false">
      <c r="A16" s="9" t="s">
        <v>124</v>
      </c>
      <c r="B16" s="39" t="n">
        <v>2</v>
      </c>
      <c r="C16" s="9" t="s">
        <v>30</v>
      </c>
      <c r="D16" s="32" t="s">
        <v>125</v>
      </c>
    </row>
    <row r="18" customFormat="false" ht="15" hidden="false" customHeight="false" outlineLevel="0" collapsed="false">
      <c r="A18" s="34" t="s">
        <v>126</v>
      </c>
      <c r="B18" s="35"/>
      <c r="C18" s="35"/>
      <c r="D18" s="35"/>
    </row>
    <row r="19" customFormat="false" ht="15" hidden="false" customHeight="false" outlineLevel="0" collapsed="false">
      <c r="A19" s="9" t="s">
        <v>127</v>
      </c>
      <c r="B19" s="26" t="n">
        <v>2.51</v>
      </c>
      <c r="C19" s="9" t="s">
        <v>28</v>
      </c>
      <c r="D19" s="32" t="s">
        <v>128</v>
      </c>
    </row>
    <row r="20" customFormat="false" ht="15" hidden="false" customHeight="false" outlineLevel="0" collapsed="false">
      <c r="A20" s="9" t="s">
        <v>129</v>
      </c>
      <c r="B20" s="26" t="n">
        <v>2.58</v>
      </c>
      <c r="C20" s="9" t="s">
        <v>28</v>
      </c>
      <c r="D20" s="32"/>
    </row>
    <row r="21" customFormat="false" ht="15" hidden="false" customHeight="false" outlineLevel="0" collapsed="false">
      <c r="A21" s="9" t="s">
        <v>130</v>
      </c>
      <c r="B21" s="26" t="n">
        <v>2.55</v>
      </c>
      <c r="C21" s="9" t="s">
        <v>28</v>
      </c>
      <c r="D21" s="32"/>
    </row>
    <row r="22" customFormat="false" ht="15" hidden="false" customHeight="false" outlineLevel="0" collapsed="false">
      <c r="A22" s="9" t="s">
        <v>131</v>
      </c>
      <c r="B22" s="26" t="n">
        <v>2.49</v>
      </c>
      <c r="C22" s="9" t="s">
        <v>28</v>
      </c>
      <c r="D22" s="32"/>
    </row>
    <row r="23" customFormat="false" ht="15" hidden="false" customHeight="false" outlineLevel="0" collapsed="false">
      <c r="A23" s="9" t="s">
        <v>132</v>
      </c>
      <c r="B23" s="26" t="n">
        <v>2.6</v>
      </c>
      <c r="C23" s="9" t="s">
        <v>28</v>
      </c>
      <c r="D23" s="32"/>
    </row>
    <row r="24" customFormat="false" ht="15" hidden="false" customHeight="false" outlineLevel="0" collapsed="false">
      <c r="A24" s="9" t="s">
        <v>133</v>
      </c>
      <c r="B24" s="26" t="n">
        <v>2.54</v>
      </c>
      <c r="C24" s="9" t="s">
        <v>28</v>
      </c>
      <c r="D24" s="32"/>
    </row>
    <row r="25" customFormat="false" ht="15" hidden="false" customHeight="false" outlineLevel="0" collapsed="false">
      <c r="A25" s="9" t="s">
        <v>134</v>
      </c>
      <c r="B25" s="26" t="n">
        <v>2.57</v>
      </c>
      <c r="C25" s="9" t="s">
        <v>28</v>
      </c>
      <c r="D25" s="32"/>
    </row>
    <row r="26" customFormat="false" ht="15" hidden="false" customHeight="false" outlineLevel="0" collapsed="false">
      <c r="A26" s="9" t="s">
        <v>135</v>
      </c>
      <c r="B26" s="26" t="n">
        <v>2.52</v>
      </c>
      <c r="C26" s="9" t="s">
        <v>28</v>
      </c>
      <c r="D26" s="32"/>
    </row>
    <row r="27" customFormat="false" ht="15" hidden="false" customHeight="false" outlineLevel="0" collapsed="false">
      <c r="A27" s="9" t="s">
        <v>136</v>
      </c>
      <c r="B27" s="26" t="n">
        <v>2.56</v>
      </c>
      <c r="C27" s="9" t="s">
        <v>28</v>
      </c>
      <c r="D27" s="32"/>
    </row>
    <row r="28" customFormat="false" ht="15" hidden="false" customHeight="false" outlineLevel="0" collapsed="false">
      <c r="A28" s="9" t="s">
        <v>137</v>
      </c>
      <c r="B28" s="26" t="n">
        <v>2.53</v>
      </c>
      <c r="C28" s="9" t="s">
        <v>28</v>
      </c>
      <c r="D28" s="32"/>
    </row>
    <row r="30" customFormat="false" ht="15" hidden="false" customHeight="false" outlineLevel="0" collapsed="false">
      <c r="A30" s="34" t="s">
        <v>138</v>
      </c>
      <c r="B30" s="35"/>
      <c r="C30" s="35"/>
      <c r="D30" s="35"/>
    </row>
    <row r="31" customFormat="false" ht="15" hidden="false" customHeight="false" outlineLevel="0" collapsed="false">
      <c r="A31" s="9" t="s">
        <v>139</v>
      </c>
      <c r="B31" s="37" t="n">
        <v>98.2</v>
      </c>
      <c r="C31" s="9" t="s">
        <v>140</v>
      </c>
      <c r="D31" s="32" t="s">
        <v>141</v>
      </c>
    </row>
    <row r="32" customFormat="false" ht="15" hidden="false" customHeight="false" outlineLevel="0" collapsed="false">
      <c r="A32" s="9" t="s">
        <v>142</v>
      </c>
      <c r="B32" s="37" t="n">
        <v>101.5</v>
      </c>
      <c r="C32" s="9" t="s">
        <v>140</v>
      </c>
      <c r="D32" s="32"/>
    </row>
    <row r="33" customFormat="false" ht="15" hidden="false" customHeight="false" outlineLevel="0" collapsed="false">
      <c r="A33" s="9" t="s">
        <v>143</v>
      </c>
      <c r="B33" s="37" t="n">
        <v>99.4</v>
      </c>
      <c r="C33" s="9" t="s">
        <v>140</v>
      </c>
      <c r="D33" s="32"/>
    </row>
    <row r="34" customFormat="false" ht="15" hidden="false" customHeight="false" outlineLevel="0" collapsed="false">
      <c r="A34" s="9" t="s">
        <v>144</v>
      </c>
      <c r="B34" s="37" t="n">
        <v>97.8</v>
      </c>
      <c r="C34" s="9" t="s">
        <v>140</v>
      </c>
      <c r="D34" s="32"/>
    </row>
    <row r="35" customFormat="false" ht="15" hidden="false" customHeight="false" outlineLevel="0" collapsed="false">
      <c r="A35" s="9" t="s">
        <v>145</v>
      </c>
      <c r="B35" s="37" t="n">
        <v>100.9</v>
      </c>
      <c r="C35" s="9" t="s">
        <v>140</v>
      </c>
      <c r="D35" s="32"/>
    </row>
    <row r="36" customFormat="false" ht="15" hidden="false" customHeight="false" outlineLevel="0" collapsed="false">
      <c r="A36" s="9" t="s">
        <v>146</v>
      </c>
      <c r="B36" s="37" t="n">
        <v>99</v>
      </c>
      <c r="C36" s="9" t="s">
        <v>140</v>
      </c>
      <c r="D36" s="32"/>
    </row>
    <row r="38" customFormat="false" ht="15" hidden="false" customHeight="false" outlineLevel="0" collapsed="false">
      <c r="A38" s="34" t="s">
        <v>147</v>
      </c>
      <c r="B38" s="35"/>
      <c r="C38" s="35"/>
      <c r="D38" s="35"/>
    </row>
    <row r="39" customFormat="false" ht="15" hidden="false" customHeight="false" outlineLevel="0" collapsed="false">
      <c r="A39" s="9" t="s">
        <v>148</v>
      </c>
      <c r="B39" s="39" t="n">
        <v>2</v>
      </c>
      <c r="C39" s="9" t="s">
        <v>30</v>
      </c>
      <c r="D39" s="32" t="s">
        <v>149</v>
      </c>
    </row>
    <row r="40" customFormat="false" ht="15" hidden="false" customHeight="false" outlineLevel="0" collapsed="false">
      <c r="A40" s="9" t="s">
        <v>150</v>
      </c>
      <c r="B40" s="39" t="n">
        <v>1</v>
      </c>
      <c r="C40" s="9" t="s">
        <v>30</v>
      </c>
      <c r="D40" s="32" t="s">
        <v>151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2026-09-30T10:33:03Z</dcterms:created>
  <dc:creator>openpyxl</dc:creator>
  <dc:description/>
  <dc:language>en-US</dc:language>
  <cp:lastModifiedBy/>
  <dcterms:modified xsi:type="dcterms:W3CDTF">2026-09-30T10:33:05Z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