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Linearity" sheetId="3" state="visible" r:id="rId5"/>
    <sheet name="LOD-LOQ" sheetId="4" state="visible" r:id="rId6"/>
    <sheet name="Precision" sheetId="5" state="visible" r:id="rId7"/>
    <sheet name="Truenes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<sst xmlns="http://schemas.openxmlformats.org/spreadsheetml/2006/main" count="201" uniqueCount="157">
  <si>
    <t xml:space="preserve">Method Validation Workbook — Quantitative Chemical Method (template)</t>
  </si>
  <si>
    <t xml:space="preserve">Author: Mohamed Sayed Khammeri — Laboratory Manager, ISO/IEC 17025. Licence: CC BY 4.0.</t>
  </si>
  <si>
    <t xml:space="preserve">ALL DATA IN THIS WORKBOOK ARE FICTIONAL. It contains no proprietary, client or accreditation-body information, and no text reproduced from any standard.</t>
  </si>
  <si>
    <t xml:space="preserve">Purpose</t>
  </si>
  <si>
    <t xml:space="preserve">Collects the performance characteristics usually required to show a quantitative method is fit for purpose (ISO/IEC 17025:2017 §7.2.2), and compares each one with a pre-defined acceptance criterion. Example: orthophosphate (as P) in water by molybdenum-blue spectrophotometry — the same fictional method as the uncertainty workbook.</t>
  </si>
  <si>
    <t xml:space="preserve">Sheets</t>
  </si>
  <si>
    <t xml:space="preserve">Summary — every characteristic, its criterion (editable) and a PASS / FAIL verdict. This is the page an assessor reads first.</t>
  </si>
  <si>
    <t xml:space="preserve">Linearity — calibration regression, residuals (absolute and %), R², residual plot.</t>
  </si>
  <si>
    <t xml:space="preserve">LOD-LOQ — from replicate low-level / blank determinations: LOD = 3·s0, LOQ = 10·s0 (EURACHEM approach), expressed in the measuring solution and in the sample.</t>
  </si>
  <si>
    <t xml:space="preserve">Precision — one-way ANOVA on a QC sample (p days × n replicates): repeatability s_r, between-day s_b, intermediate precision s_I, repeatability limit r = 2.8·s_r.</t>
  </si>
  <si>
    <t xml:space="preserve">Trueness — CRM bias test (|bias| compared with U of the difference) and spike recovery at three levels.</t>
  </si>
  <si>
    <t xml:space="preserve">How to use</t>
  </si>
  <si>
    <t xml:space="preserve">Yellow cells with blue text = inputs (your data and your acceptance criteria). Criteria must be fixed in the validation plan BEFORE the experiments.</t>
  </si>
  <si>
    <t xml:space="preserve">Green-shaded cells = key results. Every other number is a live formula.</t>
  </si>
  <si>
    <t xml:space="preserve">Green text = value pulled from another sheet.</t>
  </si>
  <si>
    <t xml:space="preserve">Limits of this template</t>
  </si>
  <si>
    <t xml:space="preserve">1. Linearity is judged on R² and residuals only. For a stricter check add replicate standards and a lack-of-fit F-test or Mandel's test.</t>
  </si>
  <si>
    <t xml:space="preserve">2. LOD/LOQ from 10 independent low-level determinations; for methods with a non-zero blank, use blank-corrected results and state it.</t>
  </si>
  <si>
    <t xml:space="preserve">3. Precision uses a balanced design (same n per day). Unbalanced designs need a different ANOVA formula.</t>
  </si>
  <si>
    <t xml:space="preserve">4. Selectivity/interferences, robustness and measuring range are method-specific and should be documented in the validation report alongside this workbook.</t>
  </si>
  <si>
    <t xml:space="preserve">References (cite; do not copy)</t>
  </si>
  <si>
    <t xml:space="preserve">EURACHEM Guide 'The Fitness for Purpose of Analytical Methods', 2nd ed. (2014) · ISO/IEC 17025:2017 §7.2 · ISO 5725-2 (precision, ANOVA) · ERM Application Note 1 (comparing a result with a certified value).</t>
  </si>
  <si>
    <t xml:space="preserve">Validation summary — orthophosphate (as P) in water, molybdenum-blue spectrophotometry</t>
  </si>
  <si>
    <t xml:space="preserve">Fictional example. Criteria are set in the validation plan before the experiments.</t>
  </si>
  <si>
    <t xml:space="preserve">Characteristic</t>
  </si>
  <si>
    <t xml:space="preserve">Result</t>
  </si>
  <si>
    <t xml:space="preserve">Criterion</t>
  </si>
  <si>
    <t xml:space="preserve">Rule</t>
  </si>
  <si>
    <t xml:space="preserve">Verdict</t>
  </si>
  <si>
    <t xml:space="preserve">Linearity — R²</t>
  </si>
  <si>
    <t xml:space="preserve">Result ≥ criterion</t>
  </si>
  <si>
    <t xml:space="preserve">Linearity — max |residual %|</t>
  </si>
  <si>
    <t xml:space="preserve">Result ≤ criterion</t>
  </si>
  <si>
    <t xml:space="preserve">LOQ in sample (mg P/L)</t>
  </si>
  <si>
    <t xml:space="preserve">Result ≤ required LOQ</t>
  </si>
  <si>
    <t xml:space="preserve">Repeatability RSD_r</t>
  </si>
  <si>
    <t xml:space="preserve">Intermediate precision RSD_I</t>
  </si>
  <si>
    <t xml:space="preserve">CRM relative bias</t>
  </si>
  <si>
    <t xml:space="preserve">|Result| ≤ criterion</t>
  </si>
  <si>
    <t xml:space="preserve">Spike recovery — minimum</t>
  </si>
  <si>
    <t xml:space="preserve">Spike recovery — maximum</t>
  </si>
  <si>
    <t xml:space="preserve">CRM bias significance test</t>
  </si>
  <si>
    <t xml:space="preserve">not significant</t>
  </si>
  <si>
    <t xml:space="preserve">|bias| ≤ U(bias)</t>
  </si>
  <si>
    <t xml:space="preserve">Overall conclusion</t>
  </si>
  <si>
    <t xml:space="preserve">Also document in the validation report: selectivity / interferences, working range, robustness, measurement uncertainty (see the uncertainty workbook), and the decision of the technical manager.</t>
  </si>
  <si>
    <t xml:space="preserve">Linearity — calibration regression and residuals</t>
  </si>
  <si>
    <t xml:space="preserve">Fictional data. Blank level excluded from % residual.</t>
  </si>
  <si>
    <t xml:space="preserve">Level</t>
  </si>
  <si>
    <t xml:space="preserve">Conc. x (mg P/L)</t>
  </si>
  <si>
    <t xml:space="preserve">Absorbance y</t>
  </si>
  <si>
    <t xml:space="preserve">Predicted ŷ</t>
  </si>
  <si>
    <t xml:space="preserve">Residual y − ŷ</t>
  </si>
  <si>
    <t xml:space="preserve">Residual %</t>
  </si>
  <si>
    <t xml:space="preserve">Statistic</t>
  </si>
  <si>
    <t xml:space="preserve">Value</t>
  </si>
  <si>
    <t xml:space="preserve">Std 0</t>
  </si>
  <si>
    <t xml:space="preserve">Slope b</t>
  </si>
  <si>
    <t xml:space="preserve">Std 1</t>
  </si>
  <si>
    <t xml:space="preserve">Intercept a</t>
  </si>
  <si>
    <t xml:space="preserve">Std 2</t>
  </si>
  <si>
    <t xml:space="preserve">R²</t>
  </si>
  <si>
    <t xml:space="preserve">Std 3</t>
  </si>
  <si>
    <t xml:space="preserve">s(y/x)</t>
  </si>
  <si>
    <t xml:space="preserve">Std 4</t>
  </si>
  <si>
    <t xml:space="preserve">Max |residual %| (x &gt; 0)</t>
  </si>
  <si>
    <t xml:space="preserve">Std 5</t>
  </si>
  <si>
    <t xml:space="preserve">Intercept as % of mid-range signal</t>
  </si>
  <si>
    <t xml:space="preserve">Std 6</t>
  </si>
  <si>
    <t xml:space="preserve">Indicative LOD from curve = 3.3·s(y/x)/b</t>
  </si>
  <si>
    <t xml:space="preserve">Limit of detection and limit of quantification</t>
  </si>
  <si>
    <t xml:space="preserve">10 independent determinations of a blank / very-low-level sample, each through the full procedure. Fictional data.</t>
  </si>
  <si>
    <t xml:space="preserve">Determination</t>
  </si>
  <si>
    <t xml:space="preserve">Result (mg P/L, measuring solution)</t>
  </si>
  <si>
    <t xml:space="preserve">Unit</t>
  </si>
  <si>
    <t xml:space="preserve">Blank 1</t>
  </si>
  <si>
    <t xml:space="preserve">Dilution factor applied to samples</t>
  </si>
  <si>
    <t xml:space="preserve">-</t>
  </si>
  <si>
    <t xml:space="preserve">Blank 2</t>
  </si>
  <si>
    <t xml:space="preserve">Number of determinations</t>
  </si>
  <si>
    <t xml:space="preserve">Blank 3</t>
  </si>
  <si>
    <t xml:space="preserve">Mean</t>
  </si>
  <si>
    <t xml:space="preserve">mg P/L</t>
  </si>
  <si>
    <t xml:space="preserve">Blank 4</t>
  </si>
  <si>
    <t xml:space="preserve">Standard deviation s0</t>
  </si>
  <si>
    <t xml:space="preserve">Blank 5</t>
  </si>
  <si>
    <t xml:space="preserve">LOD = 3·s0 (measuring solution)</t>
  </si>
  <si>
    <t xml:space="preserve">Blank 6</t>
  </si>
  <si>
    <t xml:space="preserve">LOQ = 10·s0 (measuring solution)</t>
  </si>
  <si>
    <t xml:space="preserve">Blank 7</t>
  </si>
  <si>
    <t xml:space="preserve">LOD in sample</t>
  </si>
  <si>
    <t xml:space="preserve">Blank 8</t>
  </si>
  <si>
    <t xml:space="preserve">LOQ in sample</t>
  </si>
  <si>
    <t xml:space="preserve">Blank 9</t>
  </si>
  <si>
    <t xml:space="preserve">Blank 10</t>
  </si>
  <si>
    <t xml:space="preserve">Check that the LOQ is below the lowest calibration standard used for reporting, and below the lowest limit your clients need to verify.</t>
  </si>
  <si>
    <t xml:space="preserve">Precision — repeatability and intermediate precision (one-way ANOVA)</t>
  </si>
  <si>
    <t xml:space="preserve">QC sample analysed in triplicate on 5 different days (different analyst / reagent batch where possible). Fictional data.</t>
  </si>
  <si>
    <t xml:space="preserve">Day (group)</t>
  </si>
  <si>
    <t xml:space="preserve">Rep 1</t>
  </si>
  <si>
    <t xml:space="preserve">Rep 2</t>
  </si>
  <si>
    <t xml:space="preserve">Rep 3</t>
  </si>
  <si>
    <t xml:space="preserve">Day mean</t>
  </si>
  <si>
    <t xml:space="preserve">Σ(x − day mean)²</t>
  </si>
  <si>
    <t xml:space="preserve">Day 1</t>
  </si>
  <si>
    <t xml:space="preserve">Day 2</t>
  </si>
  <si>
    <t xml:space="preserve">Day 3</t>
  </si>
  <si>
    <t xml:space="preserve">Day 4</t>
  </si>
  <si>
    <t xml:space="preserve">Day 5</t>
  </si>
  <si>
    <t xml:space="preserve">ANOVA statistic</t>
  </si>
  <si>
    <t xml:space="preserve">p — number of days</t>
  </si>
  <si>
    <t xml:space="preserve">n — replicates per day</t>
  </si>
  <si>
    <t xml:space="preserve">Grand mean</t>
  </si>
  <si>
    <t xml:space="preserve">MS within (repeatability)</t>
  </si>
  <si>
    <t xml:space="preserve">(mg P/L)²</t>
  </si>
  <si>
    <t xml:space="preserve">MS between (days)</t>
  </si>
  <si>
    <t xml:space="preserve">s_r — repeatability SD</t>
  </si>
  <si>
    <t xml:space="preserve">s_b — between-day SD</t>
  </si>
  <si>
    <t xml:space="preserve">s_I — intermediate precision SD</t>
  </si>
  <si>
    <t xml:space="preserve">RSD_r</t>
  </si>
  <si>
    <t xml:space="preserve">RSD_I</t>
  </si>
  <si>
    <t xml:space="preserve">Repeatability limit r = 2.8·s_r</t>
  </si>
  <si>
    <t xml:space="preserve">Intermediate precision limit = 2.8·s_I</t>
  </si>
  <si>
    <t xml:space="preserve">If MS between &lt; MS within, the between-day variance is set to 0 (s_I = s_r).</t>
  </si>
  <si>
    <t xml:space="preserve">Trueness — CRM bias and spike recovery</t>
  </si>
  <si>
    <t xml:space="preserve">Fictional data.</t>
  </si>
  <si>
    <t xml:space="preserve">A. Certified reference material</t>
  </si>
  <si>
    <t xml:space="preserve">Certified value</t>
  </si>
  <si>
    <t xml:space="preserve">Expanded uncertainty on certificate U</t>
  </si>
  <si>
    <t xml:space="preserve">Coverage factor on certificate k</t>
  </si>
  <si>
    <t xml:space="preserve">CRM replicate</t>
  </si>
  <si>
    <t xml:space="preserve">Result (mg P/L)</t>
  </si>
  <si>
    <t xml:space="preserve">Replicate 1</t>
  </si>
  <si>
    <t xml:space="preserve">n</t>
  </si>
  <si>
    <t xml:space="preserve">Replicate 2</t>
  </si>
  <si>
    <t xml:space="preserve">Replicate 3</t>
  </si>
  <si>
    <t xml:space="preserve">s</t>
  </si>
  <si>
    <t xml:space="preserve">Replicate 4</t>
  </si>
  <si>
    <t xml:space="preserve">Bias Δ = mean − certified</t>
  </si>
  <si>
    <t xml:space="preserve">Replicate 5</t>
  </si>
  <si>
    <t xml:space="preserve">Relative bias</t>
  </si>
  <si>
    <t xml:space="preserve">Replicate 6</t>
  </si>
  <si>
    <t xml:space="preserve">Recovery</t>
  </si>
  <si>
    <t xml:space="preserve">u(Δ) = √(s²/n + (U_CRM/k)²)</t>
  </si>
  <si>
    <t xml:space="preserve">U(Δ) = 2·u(Δ)</t>
  </si>
  <si>
    <t xml:space="preserve">Bias significant?</t>
  </si>
  <si>
    <t xml:space="preserve">B. Spike recovery at three levels (duplicates)</t>
  </si>
  <si>
    <t xml:space="preserve">Unspiked result (mg P/L)</t>
  </si>
  <si>
    <t xml:space="preserve">Spike added (mg P/L)</t>
  </si>
  <si>
    <t xml:space="preserve">Spiked result (mg P/L)</t>
  </si>
  <si>
    <t xml:space="preserve">Recovery %</t>
  </si>
  <si>
    <t xml:space="preserve">Low</t>
  </si>
  <si>
    <t xml:space="preserve">Mid</t>
  </si>
  <si>
    <t xml:space="preserve">High</t>
  </si>
  <si>
    <t xml:space="preserve">Mean recovery</t>
  </si>
  <si>
    <t xml:space="preserve">Minimum</t>
  </si>
  <si>
    <t xml:space="preserve">Maximum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</si>
</sst>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000"/>
    <numFmt numFmtId="166" formatCode="0.000"/>
    <numFmt numFmtId="167" formatCode="0.00%"/>
    <numFmt numFmtId="168" formatCode="0.0%"/>
    <numFmt numFmtId="169" formatCode="0.0000"/>
    <numFmt numFmtId="170" formatCode="0.0"/>
    <numFmt numFmtId="171" formatCode="0"/>
    <numFmt numFmtId="172" formatCode="0.00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D9E1F2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E2EFDA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Residual plot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"Residual"</c:f>
              <c:strCache>
                <c:ptCount val="1"/>
                <c:pt idx="0">
                  <c:v>Residual</c:v>
                </c:pt>
              </c:strCache>
            </c:strRef>
          </c:tx>
          <c:spPr>
            <a:solidFill>
              <a:srgbClr val="ffffff"/>
            </a:solidFill>
            <a:ln w="47520">
              <a:noFill/>
            </a:ln>
          </c:spPr>
          <c:marker>
            <c:symbol val="circle"/>
            <c:size val="5"/>
            <c:spPr>
              <a:noFill/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Linearity!$B$5:$B$11</c:f>
              <c:numCache>
                <c:formatCode>0.000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0.8</c:v>
                </c:pt>
                <c:pt idx="6">
                  <c:v>1</c:v>
                </c:pt>
              </c:numCache>
            </c:numRef>
          </c:xVal>
          <c:yVal>
            <c:numRef>
              <c:f>Linearity!$E$5:$E$11</c:f>
              <c:numCache>
                <c:formatCode>0.0000</c:formatCode>
                <c:ptCount val="7"/>
                <c:pt idx="0">
                  <c:v>-0.000295221843003405</c:v>
                </c:pt>
                <c:pt idx="1">
                  <c:v>0.000126279863481245</c:v>
                </c:pt>
                <c:pt idx="2">
                  <c:v>-0.00145221843003411</c:v>
                </c:pt>
                <c:pt idx="3">
                  <c:v>0.00139078498293518</c:v>
                </c:pt>
                <c:pt idx="4">
                  <c:v>0.00123378839590449</c:v>
                </c:pt>
                <c:pt idx="5">
                  <c:v>7.67918088737662E-005</c:v>
                </c:pt>
                <c:pt idx="6">
                  <c:v>-0.00108020477815696</c:v>
                </c:pt>
              </c:numCache>
            </c:numRef>
          </c:yVal>
          <c:smooth val="1"/>
        </c:ser>
        <c:axId val="48405545"/>
        <c:axId val="56171700"/>
      </c:scatterChart>
      <c:valAx>
        <c:axId val="48405545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Concentration (mg P/L)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171700"/>
        <c:crosses val="autoZero"/>
        <c:crossBetween val="midCat"/>
      </c:valAx>
      <c:valAx>
        <c:axId val="561717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Residual (AU)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405545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160560</xdr:rowOff>
    </xdr:from>
    <xdr:to>
      <xdr:col>5</xdr:col>
      <xdr:colOff>246600</xdr:colOff>
      <xdr:row>26</xdr:row>
      <xdr:rowOff>13320</xdr:rowOff>
    </xdr:to>
    <xdr:graphicFrame>
      <xdr:nvGraphicFramePr>
        <xdr:cNvPr id="0" name="Chart 1"/>
        <xdr:cNvGraphicFramePr/>
      </xdr:nvGraphicFramePr>
      <xdr:xfrm>
        <a:off x="0" y="247644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2" t="s">
        <v>2</v>
      </c>
    </row>
    <row r="5" customFormat="false" ht="15" hidden="false" customHeight="false" outlineLevel="0" collapsed="false">
      <c r="A5" s="3" t="s">
        <v>3</v>
      </c>
    </row>
    <row r="7" customFormat="false" ht="35.05" hidden="false" customHeight="false" outlineLevel="0" collapsed="false">
      <c r="A7" s="2" t="s">
        <v>4</v>
      </c>
    </row>
    <row r="8" customFormat="false" ht="15" hidden="false" customHeight="false" outlineLevel="0" collapsed="false">
      <c r="A8" s="3" t="s">
        <v>5</v>
      </c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A11" s="2" t="s">
        <v>7</v>
      </c>
    </row>
    <row r="12" customFormat="false" ht="23.85" hidden="false" customHeight="false" outlineLevel="0" collapsed="false">
      <c r="A12" s="2" t="s">
        <v>8</v>
      </c>
    </row>
    <row r="13" customFormat="false" ht="23.8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3" t="s">
        <v>11</v>
      </c>
    </row>
    <row r="17" customFormat="false" ht="23.85" hidden="false" customHeight="false" outlineLevel="0" collapsed="false">
      <c r="A17" s="4" t="s">
        <v>12</v>
      </c>
    </row>
    <row r="18" customFormat="false" ht="15" hidden="false" customHeight="false" outlineLevel="0" collapsed="false">
      <c r="A18" s="5" t="s">
        <v>13</v>
      </c>
    </row>
    <row r="19" customFormat="false" ht="15" hidden="false" customHeight="false" outlineLevel="0" collapsed="false">
      <c r="A19" s="6" t="s">
        <v>14</v>
      </c>
    </row>
    <row r="20" customFormat="false" ht="15" hidden="false" customHeight="false" outlineLevel="0" collapsed="false">
      <c r="A20" s="3" t="s">
        <v>15</v>
      </c>
    </row>
    <row r="22" customFormat="false" ht="15" hidden="false" customHeight="false" outlineLevel="0" collapsed="false">
      <c r="A22" s="2" t="s">
        <v>16</v>
      </c>
    </row>
    <row r="23" customFormat="false" ht="15" hidden="false" customHeight="false" outlineLevel="0" collapsed="false">
      <c r="A23" s="2" t="s">
        <v>17</v>
      </c>
    </row>
    <row r="24" customFormat="false" ht="15" hidden="false" customHeight="false" outlineLevel="0" collapsed="false">
      <c r="A24" s="2" t="s">
        <v>18</v>
      </c>
    </row>
    <row r="25" customFormat="false" ht="23.85" hidden="false" customHeight="false" outlineLevel="0" collapsed="false">
      <c r="A25" s="2" t="s">
        <v>19</v>
      </c>
    </row>
    <row r="26" customFormat="false" ht="15" hidden="false" customHeight="false" outlineLevel="0" collapsed="false">
      <c r="A26" s="3" t="s">
        <v>20</v>
      </c>
    </row>
    <row r="28" customFormat="false" ht="23.85" hidden="false" customHeight="false" outlineLevel="0" collapsed="false">
      <c r="A28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7" t="s">
        <v>23</v>
      </c>
    </row>
    <row r="4" customFormat="false" ht="15" hidden="false" customHeight="false" outlineLevel="0" collapsed="false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</row>
    <row r="5" customFormat="false" ht="15" hidden="false" customHeight="false" outlineLevel="0" collapsed="false">
      <c r="A5" s="9" t="s">
        <v>29</v>
      </c>
      <c r="B5" s="10" t="n">
        <f aca="false">Linearity!I7</f>
        <v>0.999969282339476</v>
      </c>
      <c r="C5" s="11" t="n">
        <v>0.995</v>
      </c>
      <c r="D5" s="9" t="s">
        <v>30</v>
      </c>
      <c r="E5" s="12" t="str">
        <f aca="false">IF(B5&gt;=C5,"PASS","FAIL")</f>
        <v>PASS</v>
      </c>
    </row>
    <row r="6" customFormat="false" ht="15" hidden="false" customHeight="false" outlineLevel="0" collapsed="false">
      <c r="A6" s="9" t="s">
        <v>31</v>
      </c>
      <c r="B6" s="13" t="n">
        <f aca="false">Linearity!I9</f>
        <v>0.0135150158019278</v>
      </c>
      <c r="C6" s="14" t="n">
        <v>0.05</v>
      </c>
      <c r="D6" s="9" t="s">
        <v>32</v>
      </c>
      <c r="E6" s="12" t="str">
        <f aca="false">IF(B6&lt;=C6,"PASS","FAIL")</f>
        <v>PASS</v>
      </c>
    </row>
    <row r="7" customFormat="false" ht="15" hidden="false" customHeight="false" outlineLevel="0" collapsed="false">
      <c r="A7" s="9" t="s">
        <v>33</v>
      </c>
      <c r="B7" s="15" t="n">
        <f aca="false">'LOD-LOQ'!E12</f>
        <v>0.0540061724867322</v>
      </c>
      <c r="C7" s="11" t="n">
        <v>0.1</v>
      </c>
      <c r="D7" s="9" t="s">
        <v>34</v>
      </c>
      <c r="E7" s="12" t="str">
        <f aca="false">IF(B7&lt;=C7,"PASS","FAIL")</f>
        <v>PASS</v>
      </c>
    </row>
    <row r="8" customFormat="false" ht="15" hidden="false" customHeight="false" outlineLevel="0" collapsed="false">
      <c r="A8" s="9" t="s">
        <v>35</v>
      </c>
      <c r="B8" s="13" t="n">
        <f aca="false">Precision!B20</f>
        <v>0.00682459108161271</v>
      </c>
      <c r="C8" s="14" t="n">
        <v>0.02</v>
      </c>
      <c r="D8" s="9" t="s">
        <v>32</v>
      </c>
      <c r="E8" s="12" t="str">
        <f aca="false">IF(B8&lt;=C8,"PASS","FAIL")</f>
        <v>PASS</v>
      </c>
    </row>
    <row r="9" customFormat="false" ht="15" hidden="false" customHeight="false" outlineLevel="0" collapsed="false">
      <c r="A9" s="9" t="s">
        <v>36</v>
      </c>
      <c r="B9" s="13" t="n">
        <f aca="false">Precision!B21</f>
        <v>0.0149021879965705</v>
      </c>
      <c r="C9" s="14" t="n">
        <v>0.03</v>
      </c>
      <c r="D9" s="9" t="s">
        <v>32</v>
      </c>
      <c r="E9" s="12" t="str">
        <f aca="false">IF(B9&lt;=C9,"PASS","FAIL")</f>
        <v>PASS</v>
      </c>
    </row>
    <row r="10" customFormat="false" ht="15" hidden="false" customHeight="false" outlineLevel="0" collapsed="false">
      <c r="A10" s="9" t="s">
        <v>37</v>
      </c>
      <c r="B10" s="13" t="n">
        <f aca="false">Trueness!E14</f>
        <v>-0.00133333333333336</v>
      </c>
      <c r="C10" s="14" t="n">
        <v>0.03</v>
      </c>
      <c r="D10" s="9" t="s">
        <v>38</v>
      </c>
      <c r="E10" s="12" t="str">
        <f aca="false">IF(ABS(B10)&lt;=C10,"PASS","FAIL")</f>
        <v>PASS</v>
      </c>
    </row>
    <row r="11" customFormat="false" ht="15" hidden="false" customHeight="false" outlineLevel="0" collapsed="false">
      <c r="A11" s="9" t="s">
        <v>39</v>
      </c>
      <c r="B11" s="16" t="n">
        <f aca="false">Trueness!E31</f>
        <v>0.98</v>
      </c>
      <c r="C11" s="14" t="n">
        <v>0.9</v>
      </c>
      <c r="D11" s="9" t="s">
        <v>30</v>
      </c>
      <c r="E11" s="12" t="str">
        <f aca="false">IF(B11&gt;=C11,"PASS","FAIL")</f>
        <v>PASS</v>
      </c>
    </row>
    <row r="12" customFormat="false" ht="15" hidden="false" customHeight="false" outlineLevel="0" collapsed="false">
      <c r="A12" s="9" t="s">
        <v>40</v>
      </c>
      <c r="B12" s="16" t="n">
        <f aca="false">Trueness!E32</f>
        <v>1.02</v>
      </c>
      <c r="C12" s="14" t="n">
        <v>1.1</v>
      </c>
      <c r="D12" s="9" t="s">
        <v>32</v>
      </c>
      <c r="E12" s="12" t="str">
        <f aca="false">IF(B12&lt;=C12,"PASS","FAIL")</f>
        <v>PASS</v>
      </c>
    </row>
    <row r="13" customFormat="false" ht="15" hidden="false" customHeight="false" outlineLevel="0" collapsed="false">
      <c r="A13" s="9" t="s">
        <v>41</v>
      </c>
      <c r="B13" s="17" t="str">
        <f aca="false">Trueness!E18</f>
        <v>No (|bias| &lt;= U(bias))</v>
      </c>
      <c r="C13" s="9" t="s">
        <v>42</v>
      </c>
      <c r="D13" s="9" t="s">
        <v>43</v>
      </c>
      <c r="E13" s="12" t="str">
        <f aca="false">IF(LEFT(B13,2)="No","PASS","FAIL")</f>
        <v>PASS</v>
      </c>
    </row>
    <row r="15" customFormat="false" ht="15" hidden="false" customHeight="false" outlineLevel="0" collapsed="false">
      <c r="A15" s="18" t="s">
        <v>44</v>
      </c>
      <c r="B15" s="19" t="str">
        <f aca="false">IF(COUNTIF(E5:E13,"FAIL")=0,"All criteria met - method fit for the intended purpose","Criteria not met - "&amp;COUNTIF(E5:E13,"FAIL")&amp;" characteristic(s) to investigate")</f>
        <v>All criteria met - method fit for the intended purpose</v>
      </c>
      <c r="C15" s="19"/>
      <c r="D15" s="19"/>
      <c r="E15" s="19"/>
    </row>
    <row r="17" customFormat="false" ht="15" hidden="false" customHeight="true" outlineLevel="0" collapsed="false">
      <c r="A17" s="20" t="s">
        <v>45</v>
      </c>
      <c r="B17" s="20"/>
      <c r="C17" s="20"/>
      <c r="D17" s="20"/>
      <c r="E17" s="20"/>
    </row>
    <row r="18" customFormat="false" ht="15" hidden="false" customHeight="false" outlineLevel="0" collapsed="false">
      <c r="A18" s="20"/>
      <c r="B18" s="20"/>
      <c r="C18" s="20"/>
      <c r="D18" s="20"/>
      <c r="E18" s="20"/>
    </row>
  </sheetData>
  <mergeCells count="2">
    <mergeCell ref="B15:E15"/>
    <mergeCell ref="A17:E18"/>
  </mergeCells>
  <conditionalFormatting sqref="E5:E1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1">
      <formula>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40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7" t="s">
        <v>47</v>
      </c>
    </row>
    <row r="4" customFormat="false" ht="15" hidden="false" customHeight="false" outlineLevel="0" collapsed="false">
      <c r="A4" s="8" t="s">
        <v>48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H4" s="8" t="s">
        <v>54</v>
      </c>
      <c r="I4" s="8" t="s">
        <v>55</v>
      </c>
    </row>
    <row r="5" customFormat="false" ht="15" hidden="false" customHeight="false" outlineLevel="0" collapsed="false">
      <c r="A5" s="9" t="s">
        <v>56</v>
      </c>
      <c r="B5" s="11" t="n">
        <v>0</v>
      </c>
      <c r="C5" s="21" t="n">
        <v>0.004</v>
      </c>
      <c r="D5" s="22" t="n">
        <f aca="false">$I$6+$I$5*B5</f>
        <v>0.00429522184300341</v>
      </c>
      <c r="E5" s="22" t="n">
        <f aca="false">C5-D5</f>
        <v>-0.000295221843003405</v>
      </c>
      <c r="F5" s="23" t="str">
        <f aca="false">IF(B5=0,"",E5/D5)</f>
        <v/>
      </c>
      <c r="H5" s="9" t="s">
        <v>57</v>
      </c>
      <c r="I5" s="24" t="n">
        <f aca="false">SLOPE(C5:C11,B5:B11)</f>
        <v>0.515784982935154</v>
      </c>
    </row>
    <row r="6" customFormat="false" ht="15" hidden="false" customHeight="false" outlineLevel="0" collapsed="false">
      <c r="A6" s="9" t="s">
        <v>58</v>
      </c>
      <c r="B6" s="11" t="n">
        <v>0.1</v>
      </c>
      <c r="C6" s="21" t="n">
        <v>0.056</v>
      </c>
      <c r="D6" s="22" t="n">
        <f aca="false">$I$6+$I$5*B6</f>
        <v>0.0558737201365188</v>
      </c>
      <c r="E6" s="22" t="n">
        <f aca="false">C6-D6</f>
        <v>0.000126279863481245</v>
      </c>
      <c r="F6" s="23" t="n">
        <f aca="false">IF(B6=0,"",E6/D6)</f>
        <v>0.00226009406878045</v>
      </c>
      <c r="H6" s="9" t="s">
        <v>59</v>
      </c>
      <c r="I6" s="24" t="n">
        <f aca="false">INTERCEPT(C5:C11,B5:B11)</f>
        <v>0.00429522184300341</v>
      </c>
    </row>
    <row r="7" customFormat="false" ht="15" hidden="false" customHeight="false" outlineLevel="0" collapsed="false">
      <c r="A7" s="9" t="s">
        <v>60</v>
      </c>
      <c r="B7" s="11" t="n">
        <v>0.2</v>
      </c>
      <c r="C7" s="21" t="n">
        <v>0.106</v>
      </c>
      <c r="D7" s="22" t="n">
        <f aca="false">$I$6+$I$5*B7</f>
        <v>0.107452218430034</v>
      </c>
      <c r="E7" s="22" t="n">
        <f aca="false">C7-D7</f>
        <v>-0.00145221843003411</v>
      </c>
      <c r="F7" s="23" t="n">
        <f aca="false">IF(B7=0,"",E7/D7)</f>
        <v>-0.0135150158019278</v>
      </c>
      <c r="H7" s="9" t="s">
        <v>61</v>
      </c>
      <c r="I7" s="25" t="n">
        <f aca="false">RSQ(C5:C11,B5:B11)</f>
        <v>0.999969282339476</v>
      </c>
    </row>
    <row r="8" customFormat="false" ht="15" hidden="false" customHeight="false" outlineLevel="0" collapsed="false">
      <c r="A8" s="9" t="s">
        <v>62</v>
      </c>
      <c r="B8" s="11" t="n">
        <v>0.4</v>
      </c>
      <c r="C8" s="21" t="n">
        <v>0.212</v>
      </c>
      <c r="D8" s="22" t="n">
        <f aca="false">$I$6+$I$5*B8</f>
        <v>0.210609215017065</v>
      </c>
      <c r="E8" s="22" t="n">
        <f aca="false">C8-D8</f>
        <v>0.00139078498293518</v>
      </c>
      <c r="F8" s="23" t="n">
        <f aca="false">IF(B8=0,"",E8/D8)</f>
        <v>0.00660362834941716</v>
      </c>
      <c r="H8" s="9" t="s">
        <v>63</v>
      </c>
      <c r="I8" s="24" t="n">
        <f aca="false">STEYX(C5:C11,B5:B11)</f>
        <v>0.00116972620115462</v>
      </c>
    </row>
    <row r="9" customFormat="false" ht="15" hidden="false" customHeight="false" outlineLevel="0" collapsed="false">
      <c r="A9" s="9" t="s">
        <v>64</v>
      </c>
      <c r="B9" s="11" t="n">
        <v>0.6</v>
      </c>
      <c r="C9" s="21" t="n">
        <v>0.315</v>
      </c>
      <c r="D9" s="22" t="n">
        <f aca="false">$I$6+$I$5*B9</f>
        <v>0.313766211604096</v>
      </c>
      <c r="E9" s="22" t="n">
        <f aca="false">C9-D9</f>
        <v>0.00123378839590449</v>
      </c>
      <c r="F9" s="23" t="n">
        <f aca="false">IF(B9=0,"",E9/D9)</f>
        <v>0.00393219011568161</v>
      </c>
      <c r="H9" s="9" t="s">
        <v>65</v>
      </c>
      <c r="I9" s="26" t="n">
        <f aca="false">MAX(MAX(F6:F11),-MIN(F6:F11))</f>
        <v>0.0135150158019278</v>
      </c>
    </row>
    <row r="10" customFormat="false" ht="15" hidden="false" customHeight="false" outlineLevel="0" collapsed="false">
      <c r="A10" s="9" t="s">
        <v>66</v>
      </c>
      <c r="B10" s="11" t="n">
        <v>0.8</v>
      </c>
      <c r="C10" s="21" t="n">
        <v>0.417</v>
      </c>
      <c r="D10" s="22" t="n">
        <f aca="false">$I$6+$I$5*B10</f>
        <v>0.416923208191126</v>
      </c>
      <c r="E10" s="22" t="n">
        <f aca="false">C10-D10</f>
        <v>7.67918088737662E-005</v>
      </c>
      <c r="F10" s="23" t="n">
        <f aca="false">IF(B10=0,"",E10/D10)</f>
        <v>0.000184186937462506</v>
      </c>
      <c r="H10" s="9" t="s">
        <v>67</v>
      </c>
      <c r="I10" s="23" t="n">
        <f aca="false">I6/(I5*AVERAGE(B5:B11))</f>
        <v>0.0188041303129752</v>
      </c>
    </row>
    <row r="11" customFormat="false" ht="15" hidden="false" customHeight="false" outlineLevel="0" collapsed="false">
      <c r="A11" s="9" t="s">
        <v>68</v>
      </c>
      <c r="B11" s="11" t="n">
        <v>1</v>
      </c>
      <c r="C11" s="21" t="n">
        <v>0.519</v>
      </c>
      <c r="D11" s="22" t="n">
        <f aca="false">$I$6+$I$5*B11</f>
        <v>0.520080204778157</v>
      </c>
      <c r="E11" s="22" t="n">
        <f aca="false">C11-D11</f>
        <v>-0.00108020477815696</v>
      </c>
      <c r="F11" s="23" t="n">
        <f aca="false">IF(B11=0,"",E11/D11)</f>
        <v>-0.00207699652521427</v>
      </c>
      <c r="H11" s="9" t="s">
        <v>69</v>
      </c>
      <c r="I11" s="22" t="n">
        <f aca="false">3.3*I8/I5</f>
        <v>0.00748392565026566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3"/>
    <col collapsed="false" customWidth="true" hidden="false" outlineLevel="0" max="4" min="4" style="0" width="38"/>
    <col collapsed="false" customWidth="true" hidden="false" outlineLevel="0" max="5" min="5" style="0" width="12"/>
    <col collapsed="false" customWidth="true" hidden="false" outlineLevel="0" max="6" min="6" style="0" width="10"/>
  </cols>
  <sheetData>
    <row r="1" customFormat="false" ht="17.35" hidden="false" customHeight="false" outlineLevel="0" collapsed="false">
      <c r="A1" s="1" t="s">
        <v>70</v>
      </c>
    </row>
    <row r="2" customFormat="false" ht="15" hidden="false" customHeight="false" outlineLevel="0" collapsed="false">
      <c r="A2" s="7" t="s">
        <v>71</v>
      </c>
    </row>
    <row r="4" customFormat="false" ht="15" hidden="false" customHeight="false" outlineLevel="0" collapsed="false">
      <c r="A4" s="8" t="s">
        <v>72</v>
      </c>
      <c r="B4" s="8" t="s">
        <v>73</v>
      </c>
      <c r="D4" s="8" t="s">
        <v>54</v>
      </c>
      <c r="E4" s="8" t="s">
        <v>55</v>
      </c>
      <c r="F4" s="8" t="s">
        <v>74</v>
      </c>
    </row>
    <row r="5" customFormat="false" ht="15" hidden="false" customHeight="false" outlineLevel="0" collapsed="false">
      <c r="A5" s="9" t="s">
        <v>75</v>
      </c>
      <c r="B5" s="21" t="n">
        <v>0.003</v>
      </c>
      <c r="D5" s="9" t="s">
        <v>76</v>
      </c>
      <c r="E5" s="27" t="n">
        <v>5</v>
      </c>
      <c r="F5" s="9" t="s">
        <v>77</v>
      </c>
    </row>
    <row r="6" customFormat="false" ht="15" hidden="false" customHeight="false" outlineLevel="0" collapsed="false">
      <c r="A6" s="9" t="s">
        <v>78</v>
      </c>
      <c r="B6" s="21" t="n">
        <v>0.005</v>
      </c>
      <c r="D6" s="9" t="s">
        <v>79</v>
      </c>
      <c r="E6" s="28" t="n">
        <f aca="false">COUNT(B5:B14)</f>
        <v>10</v>
      </c>
      <c r="F6" s="9" t="s">
        <v>77</v>
      </c>
    </row>
    <row r="7" customFormat="false" ht="15" hidden="false" customHeight="false" outlineLevel="0" collapsed="false">
      <c r="A7" s="9" t="s">
        <v>80</v>
      </c>
      <c r="B7" s="21" t="n">
        <v>0.002</v>
      </c>
      <c r="D7" s="9" t="s">
        <v>81</v>
      </c>
      <c r="E7" s="22" t="n">
        <f aca="false">AVERAGE(B5:B14)</f>
        <v>0.0035</v>
      </c>
      <c r="F7" s="9" t="s">
        <v>82</v>
      </c>
    </row>
    <row r="8" customFormat="false" ht="15" hidden="false" customHeight="false" outlineLevel="0" collapsed="false">
      <c r="A8" s="9" t="s">
        <v>83</v>
      </c>
      <c r="B8" s="21" t="n">
        <v>0.004</v>
      </c>
      <c r="D8" s="9" t="s">
        <v>84</v>
      </c>
      <c r="E8" s="22" t="n">
        <f aca="false">STDEV(B5:B14)</f>
        <v>0.00108012344973464</v>
      </c>
      <c r="F8" s="9" t="s">
        <v>82</v>
      </c>
    </row>
    <row r="9" customFormat="false" ht="15" hidden="false" customHeight="false" outlineLevel="0" collapsed="false">
      <c r="A9" s="9" t="s">
        <v>85</v>
      </c>
      <c r="B9" s="21" t="n">
        <v>0.004</v>
      </c>
      <c r="D9" s="9" t="s">
        <v>86</v>
      </c>
      <c r="E9" s="22" t="n">
        <f aca="false">3*E8</f>
        <v>0.00324037034920393</v>
      </c>
      <c r="F9" s="9" t="s">
        <v>82</v>
      </c>
    </row>
    <row r="10" customFormat="false" ht="15" hidden="false" customHeight="false" outlineLevel="0" collapsed="false">
      <c r="A10" s="9" t="s">
        <v>87</v>
      </c>
      <c r="B10" s="21" t="n">
        <v>0.003</v>
      </c>
      <c r="D10" s="9" t="s">
        <v>88</v>
      </c>
      <c r="E10" s="22" t="n">
        <f aca="false">10*E8</f>
        <v>0.0108012344973464</v>
      </c>
      <c r="F10" s="9" t="s">
        <v>82</v>
      </c>
    </row>
    <row r="11" customFormat="false" ht="15" hidden="false" customHeight="false" outlineLevel="0" collapsed="false">
      <c r="A11" s="9" t="s">
        <v>89</v>
      </c>
      <c r="B11" s="21" t="n">
        <v>0.005</v>
      </c>
      <c r="D11" s="9" t="s">
        <v>90</v>
      </c>
      <c r="E11" s="29" t="n">
        <f aca="false">E9*E5</f>
        <v>0.0162018517460197</v>
      </c>
      <c r="F11" s="9" t="s">
        <v>82</v>
      </c>
    </row>
    <row r="12" customFormat="false" ht="15" hidden="false" customHeight="false" outlineLevel="0" collapsed="false">
      <c r="A12" s="9" t="s">
        <v>91</v>
      </c>
      <c r="B12" s="21" t="n">
        <v>0.002</v>
      </c>
      <c r="D12" s="9" t="s">
        <v>92</v>
      </c>
      <c r="E12" s="29" t="n">
        <f aca="false">E10*E5</f>
        <v>0.0540061724867322</v>
      </c>
      <c r="F12" s="9" t="s">
        <v>82</v>
      </c>
    </row>
    <row r="13" customFormat="false" ht="15" hidden="false" customHeight="false" outlineLevel="0" collapsed="false">
      <c r="A13" s="9" t="s">
        <v>93</v>
      </c>
      <c r="B13" s="21" t="n">
        <v>0.004</v>
      </c>
    </row>
    <row r="14" customFormat="false" ht="15" hidden="false" customHeight="true" outlineLevel="0" collapsed="false">
      <c r="A14" s="9" t="s">
        <v>94</v>
      </c>
      <c r="B14" s="21" t="n">
        <v>0.003</v>
      </c>
      <c r="D14" s="20" t="s">
        <v>95</v>
      </c>
      <c r="E14" s="20"/>
      <c r="F14" s="20"/>
    </row>
    <row r="15" customFormat="false" ht="15" hidden="false" customHeight="false" outlineLevel="0" collapsed="false">
      <c r="D15" s="20"/>
      <c r="E15" s="20"/>
      <c r="F15" s="20"/>
    </row>
  </sheetData>
  <mergeCells count="1">
    <mergeCell ref="D14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8"/>
  </cols>
  <sheetData>
    <row r="1" customFormat="false" ht="17.35" hidden="false" customHeight="false" outlineLevel="0" collapsed="false">
      <c r="A1" s="1" t="s">
        <v>96</v>
      </c>
    </row>
    <row r="2" customFormat="false" ht="15" hidden="false" customHeight="false" outlineLevel="0" collapsed="false">
      <c r="A2" s="7" t="s">
        <v>97</v>
      </c>
    </row>
    <row r="4" customFormat="false" ht="15" hidden="false" customHeight="false" outlineLevel="0" collapsed="false">
      <c r="A4" s="8" t="s">
        <v>98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</row>
    <row r="5" customFormat="false" ht="15" hidden="false" customHeight="false" outlineLevel="0" collapsed="false">
      <c r="A5" s="9" t="s">
        <v>104</v>
      </c>
      <c r="B5" s="11" t="n">
        <v>2.54</v>
      </c>
      <c r="C5" s="11" t="n">
        <v>2.57</v>
      </c>
      <c r="D5" s="11" t="n">
        <v>2.55</v>
      </c>
      <c r="E5" s="22" t="n">
        <f aca="false">AVERAGE(B5:D5)</f>
        <v>2.55333333333333</v>
      </c>
      <c r="F5" s="30" t="n">
        <f aca="false">DEVSQ(B5:D5)</f>
        <v>0.000466666666666662</v>
      </c>
    </row>
    <row r="6" customFormat="false" ht="15" hidden="false" customHeight="false" outlineLevel="0" collapsed="false">
      <c r="A6" s="9" t="s">
        <v>105</v>
      </c>
      <c r="B6" s="11" t="n">
        <v>2.6</v>
      </c>
      <c r="C6" s="11" t="n">
        <v>2.58</v>
      </c>
      <c r="D6" s="11" t="n">
        <v>2.61</v>
      </c>
      <c r="E6" s="22" t="n">
        <f aca="false">AVERAGE(B6:D6)</f>
        <v>2.59666666666667</v>
      </c>
      <c r="F6" s="30" t="n">
        <f aca="false">DEVSQ(B6:D6)</f>
        <v>0.000466666666666662</v>
      </c>
    </row>
    <row r="7" customFormat="false" ht="15" hidden="false" customHeight="false" outlineLevel="0" collapsed="false">
      <c r="A7" s="9" t="s">
        <v>106</v>
      </c>
      <c r="B7" s="11" t="n">
        <v>2.51</v>
      </c>
      <c r="C7" s="11" t="n">
        <v>2.53</v>
      </c>
      <c r="D7" s="11" t="n">
        <v>2.5</v>
      </c>
      <c r="E7" s="22" t="n">
        <f aca="false">AVERAGE(B7:D7)</f>
        <v>2.51333333333333</v>
      </c>
      <c r="F7" s="30" t="n">
        <f aca="false">DEVSQ(B7:D7)</f>
        <v>0.000466666666666662</v>
      </c>
    </row>
    <row r="8" customFormat="false" ht="15" hidden="false" customHeight="false" outlineLevel="0" collapsed="false">
      <c r="A8" s="9" t="s">
        <v>107</v>
      </c>
      <c r="B8" s="11" t="n">
        <v>2.56</v>
      </c>
      <c r="C8" s="11" t="n">
        <v>2.55</v>
      </c>
      <c r="D8" s="11" t="n">
        <v>2.59</v>
      </c>
      <c r="E8" s="22" t="n">
        <f aca="false">AVERAGE(B8:D8)</f>
        <v>2.56666666666667</v>
      </c>
      <c r="F8" s="30" t="n">
        <f aca="false">DEVSQ(B8:D8)</f>
        <v>0.000866666666666665</v>
      </c>
    </row>
    <row r="9" customFormat="false" ht="15" hidden="false" customHeight="false" outlineLevel="0" collapsed="false">
      <c r="A9" s="9" t="s">
        <v>108</v>
      </c>
      <c r="B9" s="11" t="n">
        <v>2.58</v>
      </c>
      <c r="C9" s="11" t="n">
        <v>2.62</v>
      </c>
      <c r="D9" s="11" t="n">
        <v>2.6</v>
      </c>
      <c r="E9" s="22" t="n">
        <f aca="false">AVERAGE(B9:D9)</f>
        <v>2.6</v>
      </c>
      <c r="F9" s="30" t="n">
        <f aca="false">DEVSQ(B9:D9)</f>
        <v>0.000800000000000001</v>
      </c>
    </row>
    <row r="11" customFormat="false" ht="15" hidden="false" customHeight="false" outlineLevel="0" collapsed="false">
      <c r="A11" s="8" t="s">
        <v>109</v>
      </c>
      <c r="B11" s="8" t="s">
        <v>55</v>
      </c>
      <c r="C11" s="8" t="s">
        <v>74</v>
      </c>
    </row>
    <row r="12" customFormat="false" ht="15" hidden="false" customHeight="false" outlineLevel="0" collapsed="false">
      <c r="A12" s="9" t="s">
        <v>110</v>
      </c>
      <c r="B12" s="28" t="n">
        <f aca="false">COUNT(E5:E9)</f>
        <v>5</v>
      </c>
      <c r="C12" s="9" t="s">
        <v>77</v>
      </c>
    </row>
    <row r="13" customFormat="false" ht="15" hidden="false" customHeight="false" outlineLevel="0" collapsed="false">
      <c r="A13" s="9" t="s">
        <v>111</v>
      </c>
      <c r="B13" s="28" t="n">
        <f aca="false">COUNT(B5:D5)</f>
        <v>3</v>
      </c>
      <c r="C13" s="9" t="s">
        <v>77</v>
      </c>
    </row>
    <row r="14" customFormat="false" ht="15" hidden="false" customHeight="false" outlineLevel="0" collapsed="false">
      <c r="A14" s="9" t="s">
        <v>112</v>
      </c>
      <c r="B14" s="22" t="n">
        <f aca="false">AVERAGE(B5:D9)</f>
        <v>2.566</v>
      </c>
      <c r="C14" s="9" t="s">
        <v>82</v>
      </c>
    </row>
    <row r="15" customFormat="false" ht="15" hidden="false" customHeight="false" outlineLevel="0" collapsed="false">
      <c r="A15" s="9" t="s">
        <v>113</v>
      </c>
      <c r="B15" s="30" t="n">
        <f aca="false">SUM(F5:F9)/(B12*(B13-1))</f>
        <v>0.000306666666666665</v>
      </c>
      <c r="C15" s="9" t="s">
        <v>114</v>
      </c>
    </row>
    <row r="16" customFormat="false" ht="15" hidden="false" customHeight="false" outlineLevel="0" collapsed="false">
      <c r="A16" s="9" t="s">
        <v>115</v>
      </c>
      <c r="B16" s="30" t="n">
        <f aca="false">B13*DEVSQ(E5:E9)/(B12-1)</f>
        <v>0.00377333333333335</v>
      </c>
      <c r="C16" s="9" t="s">
        <v>114</v>
      </c>
    </row>
    <row r="17" customFormat="false" ht="15" hidden="false" customHeight="false" outlineLevel="0" collapsed="false">
      <c r="A17" s="9" t="s">
        <v>116</v>
      </c>
      <c r="B17" s="22" t="n">
        <f aca="false">SQRT(B15)</f>
        <v>0.0175119007154182</v>
      </c>
      <c r="C17" s="9" t="s">
        <v>82</v>
      </c>
    </row>
    <row r="18" customFormat="false" ht="15" hidden="false" customHeight="false" outlineLevel="0" collapsed="false">
      <c r="A18" s="9" t="s">
        <v>117</v>
      </c>
      <c r="B18" s="22" t="n">
        <f aca="false">SQRT(MAX(0,(B16-B15)/B13))</f>
        <v>0.033993463423952</v>
      </c>
      <c r="C18" s="9" t="s">
        <v>82</v>
      </c>
    </row>
    <row r="19" customFormat="false" ht="15" hidden="false" customHeight="false" outlineLevel="0" collapsed="false">
      <c r="A19" s="9" t="s">
        <v>118</v>
      </c>
      <c r="B19" s="22" t="n">
        <f aca="false">SQRT(B17^2+B18^2)</f>
        <v>0.0382390143992</v>
      </c>
      <c r="C19" s="9" t="s">
        <v>82</v>
      </c>
    </row>
    <row r="20" customFormat="false" ht="15" hidden="false" customHeight="false" outlineLevel="0" collapsed="false">
      <c r="A20" s="9" t="s">
        <v>119</v>
      </c>
      <c r="B20" s="26" t="n">
        <f aca="false">B17/B14</f>
        <v>0.00682459108161271</v>
      </c>
      <c r="C20" s="9" t="s">
        <v>77</v>
      </c>
    </row>
    <row r="21" customFormat="false" ht="15" hidden="false" customHeight="false" outlineLevel="0" collapsed="false">
      <c r="A21" s="9" t="s">
        <v>120</v>
      </c>
      <c r="B21" s="26" t="n">
        <f aca="false">B19/B14</f>
        <v>0.0149021879965705</v>
      </c>
      <c r="C21" s="9" t="s">
        <v>77</v>
      </c>
    </row>
    <row r="22" customFormat="false" ht="15" hidden="false" customHeight="false" outlineLevel="0" collapsed="false">
      <c r="A22" s="9" t="s">
        <v>121</v>
      </c>
      <c r="B22" s="31" t="n">
        <f aca="false">2.8*B17</f>
        <v>0.049033322003171</v>
      </c>
      <c r="C22" s="9" t="s">
        <v>82</v>
      </c>
    </row>
    <row r="23" customFormat="false" ht="15" hidden="false" customHeight="false" outlineLevel="0" collapsed="false">
      <c r="A23" s="9" t="s">
        <v>122</v>
      </c>
      <c r="B23" s="31" t="n">
        <f aca="false">2.8*B19</f>
        <v>0.10706924031776</v>
      </c>
      <c r="C23" s="9" t="s">
        <v>82</v>
      </c>
    </row>
    <row r="25" customFormat="false" ht="22.35" hidden="false" customHeight="false" outlineLevel="0" collapsed="false">
      <c r="A25" s="32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6" min="6" style="0" width="10"/>
  </cols>
  <sheetData>
    <row r="1" customFormat="false" ht="17.35" hidden="false" customHeight="false" outlineLevel="0" collapsed="false">
      <c r="A1" s="1" t="s">
        <v>124</v>
      </c>
    </row>
    <row r="2" customFormat="false" ht="15" hidden="false" customHeight="false" outlineLevel="0" collapsed="false">
      <c r="A2" s="7" t="s">
        <v>125</v>
      </c>
    </row>
    <row r="4" customFormat="false" ht="15" hidden="false" customHeight="false" outlineLevel="0" collapsed="false">
      <c r="A4" s="33" t="s">
        <v>126</v>
      </c>
      <c r="B4" s="34"/>
      <c r="C4" s="34"/>
      <c r="D4" s="34"/>
      <c r="E4" s="34"/>
      <c r="F4" s="34"/>
    </row>
    <row r="5" customFormat="false" ht="15" hidden="false" customHeight="false" outlineLevel="0" collapsed="false">
      <c r="A5" s="9" t="s">
        <v>127</v>
      </c>
      <c r="B5" s="11" t="n">
        <v>2.5</v>
      </c>
      <c r="C5" s="9" t="s">
        <v>82</v>
      </c>
    </row>
    <row r="6" customFormat="false" ht="15" hidden="false" customHeight="false" outlineLevel="0" collapsed="false">
      <c r="A6" s="9" t="s">
        <v>128</v>
      </c>
      <c r="B6" s="11" t="n">
        <v>0.05</v>
      </c>
      <c r="C6" s="9" t="s">
        <v>82</v>
      </c>
    </row>
    <row r="7" customFormat="false" ht="15" hidden="false" customHeight="false" outlineLevel="0" collapsed="false">
      <c r="A7" s="9" t="s">
        <v>129</v>
      </c>
      <c r="B7" s="35" t="n">
        <v>2</v>
      </c>
      <c r="C7" s="9" t="s">
        <v>77</v>
      </c>
    </row>
    <row r="9" customFormat="false" ht="15" hidden="false" customHeight="false" outlineLevel="0" collapsed="false">
      <c r="A9" s="8" t="s">
        <v>130</v>
      </c>
      <c r="B9" s="8" t="s">
        <v>131</v>
      </c>
      <c r="D9" s="8" t="s">
        <v>54</v>
      </c>
      <c r="E9" s="8" t="s">
        <v>55</v>
      </c>
      <c r="F9" s="8" t="s">
        <v>74</v>
      </c>
    </row>
    <row r="10" customFormat="false" ht="15" hidden="false" customHeight="false" outlineLevel="0" collapsed="false">
      <c r="A10" s="9" t="s">
        <v>132</v>
      </c>
      <c r="B10" s="11" t="n">
        <v>2.47</v>
      </c>
      <c r="D10" s="9" t="s">
        <v>133</v>
      </c>
      <c r="E10" s="28" t="n">
        <f aca="false">COUNT(B10:B15)</f>
        <v>6</v>
      </c>
      <c r="F10" s="9" t="s">
        <v>77</v>
      </c>
    </row>
    <row r="11" customFormat="false" ht="15" hidden="false" customHeight="false" outlineLevel="0" collapsed="false">
      <c r="A11" s="9" t="s">
        <v>134</v>
      </c>
      <c r="B11" s="11" t="n">
        <v>2.53</v>
      </c>
      <c r="D11" s="9" t="s">
        <v>81</v>
      </c>
      <c r="E11" s="22" t="n">
        <f aca="false">AVERAGE(B10:B15)</f>
        <v>2.49666666666667</v>
      </c>
      <c r="F11" s="9" t="s">
        <v>82</v>
      </c>
    </row>
    <row r="12" customFormat="false" ht="15" hidden="false" customHeight="false" outlineLevel="0" collapsed="false">
      <c r="A12" s="9" t="s">
        <v>135</v>
      </c>
      <c r="B12" s="11" t="n">
        <v>2.49</v>
      </c>
      <c r="D12" s="9" t="s">
        <v>136</v>
      </c>
      <c r="E12" s="22" t="n">
        <f aca="false">STDEV(B10:B15)</f>
        <v>0.0280475786239501</v>
      </c>
      <c r="F12" s="9" t="s">
        <v>82</v>
      </c>
    </row>
    <row r="13" customFormat="false" ht="15" hidden="false" customHeight="false" outlineLevel="0" collapsed="false">
      <c r="A13" s="9" t="s">
        <v>137</v>
      </c>
      <c r="B13" s="11" t="n">
        <v>2.52</v>
      </c>
      <c r="D13" s="9" t="s">
        <v>138</v>
      </c>
      <c r="E13" s="22" t="n">
        <f aca="false">E11-B5</f>
        <v>-0.00333333333333341</v>
      </c>
      <c r="F13" s="9" t="s">
        <v>82</v>
      </c>
    </row>
    <row r="14" customFormat="false" ht="15" hidden="false" customHeight="false" outlineLevel="0" collapsed="false">
      <c r="A14" s="9" t="s">
        <v>139</v>
      </c>
      <c r="B14" s="11" t="n">
        <v>2.46</v>
      </c>
      <c r="D14" s="9" t="s">
        <v>140</v>
      </c>
      <c r="E14" s="26" t="n">
        <f aca="false">E13/B5</f>
        <v>-0.00133333333333336</v>
      </c>
      <c r="F14" s="9" t="s">
        <v>77</v>
      </c>
    </row>
    <row r="15" customFormat="false" ht="15" hidden="false" customHeight="false" outlineLevel="0" collapsed="false">
      <c r="A15" s="9" t="s">
        <v>141</v>
      </c>
      <c r="B15" s="11" t="n">
        <v>2.51</v>
      </c>
      <c r="D15" s="9" t="s">
        <v>142</v>
      </c>
      <c r="E15" s="23" t="n">
        <f aca="false">E11/B5</f>
        <v>0.998666666666667</v>
      </c>
      <c r="F15" s="9" t="s">
        <v>77</v>
      </c>
    </row>
    <row r="16" customFormat="false" ht="15" hidden="false" customHeight="false" outlineLevel="0" collapsed="false">
      <c r="D16" s="9" t="s">
        <v>143</v>
      </c>
      <c r="E16" s="22" t="n">
        <f aca="false">SQRT(E12^2/E10+(B6/B7)^2)</f>
        <v>0.0274974746315204</v>
      </c>
      <c r="F16" s="9" t="s">
        <v>82</v>
      </c>
    </row>
    <row r="17" customFormat="false" ht="15" hidden="false" customHeight="false" outlineLevel="0" collapsed="false">
      <c r="D17" s="9" t="s">
        <v>144</v>
      </c>
      <c r="E17" s="22" t="n">
        <f aca="false">2*E16</f>
        <v>0.0549949492630409</v>
      </c>
      <c r="F17" s="9" t="s">
        <v>82</v>
      </c>
    </row>
    <row r="18" customFormat="false" ht="15" hidden="false" customHeight="false" outlineLevel="0" collapsed="false">
      <c r="D18" s="9" t="s">
        <v>145</v>
      </c>
      <c r="E18" s="36" t="str">
        <f aca="false">IF(ABS(E13)&lt;=E17,"No (|bias| &lt;= U(bias))","Yes (|bias| &gt; U(bias))")</f>
        <v>No (|bias| &lt;= U(bias))</v>
      </c>
      <c r="F18" s="9"/>
    </row>
    <row r="21" customFormat="false" ht="15" hidden="false" customHeight="false" outlineLevel="0" collapsed="false">
      <c r="A21" s="33" t="s">
        <v>146</v>
      </c>
      <c r="B21" s="34"/>
      <c r="C21" s="34"/>
      <c r="D21" s="34"/>
      <c r="E21" s="34"/>
      <c r="F21" s="34"/>
    </row>
    <row r="22" customFormat="false" ht="15" hidden="false" customHeight="false" outlineLevel="0" collapsed="false">
      <c r="A22" s="8" t="s">
        <v>48</v>
      </c>
      <c r="B22" s="8" t="s">
        <v>147</v>
      </c>
      <c r="C22" s="8" t="s">
        <v>148</v>
      </c>
      <c r="D22" s="8" t="s">
        <v>149</v>
      </c>
      <c r="E22" s="8" t="s">
        <v>150</v>
      </c>
    </row>
    <row r="23" customFormat="false" ht="15" hidden="false" customHeight="false" outlineLevel="0" collapsed="false">
      <c r="A23" s="9" t="s">
        <v>151</v>
      </c>
      <c r="B23" s="11" t="n">
        <v>0.52</v>
      </c>
      <c r="C23" s="11" t="n">
        <v>0.5</v>
      </c>
      <c r="D23" s="11" t="n">
        <v>1.01</v>
      </c>
      <c r="E23" s="37" t="n">
        <f aca="false">(D23-B23)/C23</f>
        <v>0.98</v>
      </c>
    </row>
    <row r="24" customFormat="false" ht="15" hidden="false" customHeight="false" outlineLevel="0" collapsed="false">
      <c r="A24" s="9" t="s">
        <v>151</v>
      </c>
      <c r="B24" s="11" t="n">
        <v>0.52</v>
      </c>
      <c r="C24" s="11" t="n">
        <v>0.5</v>
      </c>
      <c r="D24" s="11" t="n">
        <v>1.03</v>
      </c>
      <c r="E24" s="37" t="n">
        <f aca="false">(D24-B24)/C24</f>
        <v>1.02</v>
      </c>
    </row>
    <row r="25" customFormat="false" ht="15" hidden="false" customHeight="false" outlineLevel="0" collapsed="false">
      <c r="A25" s="9" t="s">
        <v>152</v>
      </c>
      <c r="B25" s="11" t="n">
        <v>0.52</v>
      </c>
      <c r="C25" s="11" t="n">
        <v>2</v>
      </c>
      <c r="D25" s="11" t="n">
        <v>2.49</v>
      </c>
      <c r="E25" s="37" t="n">
        <f aca="false">(D25-B25)/C25</f>
        <v>0.985</v>
      </c>
    </row>
    <row r="26" customFormat="false" ht="15" hidden="false" customHeight="false" outlineLevel="0" collapsed="false">
      <c r="A26" s="9" t="s">
        <v>152</v>
      </c>
      <c r="B26" s="11" t="n">
        <v>0.52</v>
      </c>
      <c r="C26" s="11" t="n">
        <v>2</v>
      </c>
      <c r="D26" s="11" t="n">
        <v>2.54</v>
      </c>
      <c r="E26" s="37" t="n">
        <f aca="false">(D26-B26)/C26</f>
        <v>1.01</v>
      </c>
    </row>
    <row r="27" customFormat="false" ht="15" hidden="false" customHeight="false" outlineLevel="0" collapsed="false">
      <c r="A27" s="9" t="s">
        <v>153</v>
      </c>
      <c r="B27" s="11" t="n">
        <v>0.52</v>
      </c>
      <c r="C27" s="11" t="n">
        <v>4</v>
      </c>
      <c r="D27" s="11" t="n">
        <v>4.47</v>
      </c>
      <c r="E27" s="37" t="n">
        <f aca="false">(D27-B27)/C27</f>
        <v>0.9875</v>
      </c>
    </row>
    <row r="28" customFormat="false" ht="15" hidden="false" customHeight="false" outlineLevel="0" collapsed="false">
      <c r="A28" s="9" t="s">
        <v>153</v>
      </c>
      <c r="B28" s="11" t="n">
        <v>0.52</v>
      </c>
      <c r="C28" s="11" t="n">
        <v>4</v>
      </c>
      <c r="D28" s="11" t="n">
        <v>4.55</v>
      </c>
      <c r="E28" s="37" t="n">
        <f aca="false">(D28-B28)/C28</f>
        <v>1.0075</v>
      </c>
    </row>
    <row r="30" customFormat="false" ht="15" hidden="false" customHeight="false" outlineLevel="0" collapsed="false">
      <c r="D30" s="9" t="s">
        <v>154</v>
      </c>
      <c r="E30" s="38" t="n">
        <f aca="false">AVERAGE(E23:E28)</f>
        <v>0.998333333333333</v>
      </c>
    </row>
    <row r="31" customFormat="false" ht="15" hidden="false" customHeight="false" outlineLevel="0" collapsed="false">
      <c r="D31" s="9" t="s">
        <v>155</v>
      </c>
      <c r="E31" s="37" t="n">
        <f aca="false">MIN(E23:E28)</f>
        <v>0.98</v>
      </c>
    </row>
    <row r="32" customFormat="false" ht="15" hidden="false" customHeight="false" outlineLevel="0" collapsed="false">
      <c r="D32" s="9" t="s">
        <v>156</v>
      </c>
      <c r="E32" s="37" t="n">
        <f aca="false">MAX(E23:E28)</f>
        <v>1.02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2026-09-30T10:34:10Z</dcterms:created>
  <dc:creator>openpyxl</dc:creator>
  <dc:description/>
  <dc:language>en-US</dc:language>
  <cp:lastModifiedBy/>
  <dcterms:modified xsi:type="dcterms:W3CDTF">2026-09-30T10:34:11Z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